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30" windowWidth="11430" windowHeight="6435" activeTab="0"/>
  </bookViews>
  <sheets>
    <sheet name="RWC2003" sheetId="1" r:id="rId1"/>
  </sheets>
  <definedNames>
    <definedName name="arg">'RWC2003'!$H$11,'RWC2003'!$G$19,'RWC2003'!$G$32,'RWC2003'!$G$39</definedName>
    <definedName name="arg_a">'RWC2003'!$G$11,'RWC2003'!$H$19,'RWC2003'!$H$32,'RWC2003'!$H$39</definedName>
    <definedName name="aus">'RWC2003'!$G$11,'RWC2003'!$G$24,'RWC2003'!$G$36,'RWC2003'!$G$48</definedName>
    <definedName name="aus_a">'RWC2003'!$H$11,'RWC2003'!$H$24,'RWC2003'!$H$36,'RWC2003'!$H$48</definedName>
    <definedName name="can">'RWC2003'!$H$16,'RWC2003'!$H$23,'RWC2003'!$H$31,'RWC2003'!$G$43</definedName>
    <definedName name="can_a">'RWC2003'!$G$16,'RWC2003'!$G$23,'RWC2003'!$G$31,'RWC2003'!$H$43</definedName>
    <definedName name="draw_pts">'RWC2003'!$AH$52</definedName>
    <definedName name="eng">'RWC2003'!$G$18,'RWC2003'!$H$26,'RWC2003'!$G$40,'RWC2003'!$G$49</definedName>
    <definedName name="eng_a">'RWC2003'!$H$18,'RWC2003'!$G$26,'RWC2003'!$H$40,'RWC2003'!$H$49</definedName>
    <definedName name="fij">'RWC2003'!$H$14,'RWC2003'!$G$20,'RWC2003'!$G$33,'RWC2003'!$H$46</definedName>
    <definedName name="fij_a">'RWC2003'!$G$14,'RWC2003'!$H$20,'RWC2003'!$H$33,'RWC2003'!$G$46</definedName>
    <definedName name="fra">'RWC2003'!$G$14,'RWC2003'!$G$25,'RWC2003'!$G$38,'RWC2003'!$G$45</definedName>
    <definedName name="fra_a">'RWC2003'!$H$45,'RWC2003'!$H$38,'RWC2003'!$H$25,'RWC2003'!$H$14</definedName>
    <definedName name="geo">'RWC2003'!$H$18,'RWC2003'!$H$35,'RWC2003'!$G$42,'RWC2003'!$G$29</definedName>
    <definedName name="geo_a">'RWC2003'!$G$18,'RWC2003'!$H$29,'RWC2003'!$G$35,'RWC2003'!$H$42</definedName>
    <definedName name="grp_a_pld">'RWC2003'!$Q$9:$Q$13</definedName>
    <definedName name="grp_b_pld">'RWC2003'!$Q$18:$Q$22</definedName>
    <definedName name="grp_c_pld">'RWC2003'!$Q$27:$Q$31</definedName>
    <definedName name="grp_d_pld">'RWC2003'!$Q$36:$Q$40</definedName>
    <definedName name="grp_e_pld">'RWC2003'!$Q$44:$Q$47</definedName>
    <definedName name="ire">'RWC2003'!$G$13,'RWC2003'!$G$28,'RWC2003'!$H$39,'RWC2003'!$H$48</definedName>
    <definedName name="ire_a">'RWC2003'!$H$13,'RWC2003'!$H$28,'RWC2003'!$G$39,'RWC2003'!$G$48</definedName>
    <definedName name="ita">'RWC2003'!$H$12,'RWC2003'!$G$21,'RWC2003'!$G$31,'RWC2003'!$G$37</definedName>
    <definedName name="ita_a">'RWC2003'!$H$21,'RWC2003'!$G$12,'RWC2003'!$H$31,'RWC2003'!$H$37</definedName>
    <definedName name="jap">'RWC2003'!$H$17,'RWC2003'!$H$25,'RWC2003'!$H$33,'RWC2003'!$G$41</definedName>
    <definedName name="jap_a">'RWC2003'!$H$41,'RWC2003'!$G$33,'RWC2003'!$G$25,'RWC2003'!$G$17</definedName>
    <definedName name="loss_pts">'RWC2003'!$AH$53</definedName>
    <definedName name="nam">'RWC2003'!$H$19,'RWC2003'!$H$28,'RWC2003'!$H$36,'RWC2003'!$G$44</definedName>
    <definedName name="nam_a">'RWC2003'!$G$19,'RWC2003'!$G$28,'RWC2003'!$G$36,'RWC2003'!$H$44</definedName>
    <definedName name="new">'RWC2003'!$G$12,'RWC2003'!$G$23,'RWC2003'!$G$34,'RWC2003'!$G$50</definedName>
    <definedName name="new_a">'RWC2003'!$H$50,'RWC2003'!$H$34,'RWC2003'!$H$23,'RWC2003'!$H$12</definedName>
    <definedName name="new_bpts">'RWC2003'!$F$12,'RWC2003'!$F$23,'RWC2003'!$F$34,'RWC2003'!$F$50</definedName>
    <definedName name="_xlnm.Print_Area" localSheetId="0">'RWC2003'!$A$1:$Y$74</definedName>
    <definedName name="rom">'RWC2003'!$H$13,'RWC2003'!$H$24,'RWC2003'!$H$32,'RWC2003'!$H$44</definedName>
    <definedName name="rom_a">'RWC2003'!$G$13,'RWC2003'!$G$24,'RWC2003'!$G$32,'RWC2003'!$G$44</definedName>
    <definedName name="rom_bpts">'RWC2003'!$I$13,'RWC2003'!$I$24,'RWC2003'!$I$32,'RWC2003'!$I$44</definedName>
    <definedName name="rwc2003_winner">'RWC2003'!$H$72</definedName>
    <definedName name="sam">'RWC2003'!$G$22,'RWC2003'!$H$29,'RWC2003'!$H$40,'RWC2003'!$H$47</definedName>
    <definedName name="sam_a">'RWC2003'!$H$22,'RWC2003'!$G$29,'RWC2003'!$G$40,'RWC2003'!$G$47</definedName>
    <definedName name="sco">'RWC2003'!$G$17,'RWC2003'!$G$30,'RWC2003'!$H$38,'RWC2003'!$G$46</definedName>
    <definedName name="sco_a">'RWC2003'!$H$17,'RWC2003'!$H$30,'RWC2003'!$G$38,'RWC2003'!$H$46</definedName>
    <definedName name="sou">'RWC2003'!$G$15,'RWC2003'!$G$26,'RWC2003'!$G$35,'RWC2003'!$G$47</definedName>
    <definedName name="sou_a">'RWC2003'!$H$15,'RWC2003'!$H$26,'RWC2003'!$H$35,'RWC2003'!$H$47</definedName>
    <definedName name="ton">'RWC2003'!$H$21,'RWC2003'!$H$34,'RWC2003'!$H$43,'RWC2003'!$H$27</definedName>
    <definedName name="ton_a">'RWC2003'!$G$21,'RWC2003'!$G$27,'RWC2003'!$G$34,'RWC2003'!$G$43</definedName>
    <definedName name="uru">'RWC2003'!$H$15,'RWC2003'!$H$22,'RWC2003'!$H$42,'RWC2003'!$H$49</definedName>
    <definedName name="uru_a">'RWC2003'!$G$15,'RWC2003'!$G$22,'RWC2003'!$G$42,'RWC2003'!$G$49</definedName>
    <definedName name="usa">'RWC2003'!$H$20,'RWC2003'!$H$30,'RWC2003'!$H$41,'RWC2003'!$H$45</definedName>
    <definedName name="usa_a">'RWC2003'!$G$20,'RWC2003'!$G$30,'RWC2003'!$G$41,'RWC2003'!$G$45</definedName>
    <definedName name="wal">'RWC2003'!$G$16,'RWC2003'!$G$27,'RWC2003'!$H$37,'RWC2003'!$H$50</definedName>
    <definedName name="wal_a">'RWC2003'!$H$16,'RWC2003'!$H$27,'RWC2003'!$G$37,'RWC2003'!$G$50</definedName>
    <definedName name="win_pts">'RWC2003'!$AH$51</definedName>
  </definedNames>
  <calcPr fullCalcOnLoad="1"/>
</workbook>
</file>

<file path=xl/sharedStrings.xml><?xml version="1.0" encoding="utf-8"?>
<sst xmlns="http://schemas.openxmlformats.org/spreadsheetml/2006/main" count="784" uniqueCount="151">
  <si>
    <t>Venue</t>
  </si>
  <si>
    <t>Winner</t>
  </si>
  <si>
    <t>Loser</t>
  </si>
  <si>
    <t>P</t>
  </si>
  <si>
    <t>W</t>
  </si>
  <si>
    <t>D</t>
  </si>
  <si>
    <t>L</t>
  </si>
  <si>
    <t>For</t>
  </si>
  <si>
    <t>Points</t>
  </si>
  <si>
    <t>France</t>
  </si>
  <si>
    <t>A</t>
  </si>
  <si>
    <t>South Africa</t>
  </si>
  <si>
    <t>B</t>
  </si>
  <si>
    <t>C</t>
  </si>
  <si>
    <t>Agst</t>
  </si>
  <si>
    <t>Pts</t>
  </si>
  <si>
    <t>Unsorted standings</t>
  </si>
  <si>
    <t>Points Sort 1</t>
  </si>
  <si>
    <t>Points Sort 2</t>
  </si>
  <si>
    <t>Points Sort 3</t>
  </si>
  <si>
    <t>Team</t>
  </si>
  <si>
    <t>Win Pts</t>
  </si>
  <si>
    <t>Draw Pts</t>
  </si>
  <si>
    <t>Loss Pts</t>
  </si>
  <si>
    <t>Australia</t>
  </si>
  <si>
    <t>Final</t>
  </si>
  <si>
    <t>Semi-Finals</t>
  </si>
  <si>
    <t>Quarter-Finals</t>
  </si>
  <si>
    <t>New Zealand</t>
  </si>
  <si>
    <t>City</t>
  </si>
  <si>
    <t>Points Sort 4</t>
  </si>
  <si>
    <t>Points Sort 5</t>
  </si>
  <si>
    <t>Final Sorted</t>
  </si>
  <si>
    <t>Sydney</t>
  </si>
  <si>
    <t>Argentina</t>
  </si>
  <si>
    <t>Scotland</t>
  </si>
  <si>
    <t>England</t>
  </si>
  <si>
    <t>Wales</t>
  </si>
  <si>
    <t>Stadium Australia</t>
  </si>
  <si>
    <t>Melbourne</t>
  </si>
  <si>
    <t>Brisbane</t>
  </si>
  <si>
    <t>Ballymore</t>
  </si>
  <si>
    <t>Gosford</t>
  </si>
  <si>
    <t>Perth</t>
  </si>
  <si>
    <t>Subiaco Oval</t>
  </si>
  <si>
    <t>Townsville</t>
  </si>
  <si>
    <t>Dairy Farmers Stadium</t>
  </si>
  <si>
    <t>Canberra</t>
  </si>
  <si>
    <t>Canberra Stadium</t>
  </si>
  <si>
    <t>Aussie Stadium</t>
  </si>
  <si>
    <t>Local</t>
  </si>
  <si>
    <t>Adelaide</t>
  </si>
  <si>
    <t>Adelaide Oval</t>
  </si>
  <si>
    <t>Wollongong</t>
  </si>
  <si>
    <t>Launceston</t>
  </si>
  <si>
    <t>York Park</t>
  </si>
  <si>
    <t>Pool</t>
  </si>
  <si>
    <t>Pool B</t>
  </si>
  <si>
    <t>Pool C</t>
  </si>
  <si>
    <t>Pool D</t>
  </si>
  <si>
    <t>Pool A</t>
  </si>
  <si>
    <t>Pool Stage</t>
  </si>
  <si>
    <t>Play-Off For 3rd</t>
  </si>
  <si>
    <t>USA PT</t>
  </si>
  <si>
    <t>USA ET</t>
  </si>
  <si>
    <t>Time Zones</t>
  </si>
  <si>
    <t>Date &amp; Time</t>
  </si>
  <si>
    <t>Selected time zone</t>
  </si>
  <si>
    <t>Result</t>
  </si>
  <si>
    <t>Suncorp Metway</t>
  </si>
  <si>
    <t>Fiji</t>
  </si>
  <si>
    <t>Japan</t>
  </si>
  <si>
    <t>Samoa</t>
  </si>
  <si>
    <t>Uruguay</t>
  </si>
  <si>
    <t>Canada</t>
  </si>
  <si>
    <t>Ireland</t>
  </si>
  <si>
    <t>Italy</t>
  </si>
  <si>
    <t>Namibia</t>
  </si>
  <si>
    <t>Romania</t>
  </si>
  <si>
    <t>Georgia</t>
  </si>
  <si>
    <t>Tonga</t>
  </si>
  <si>
    <t>Docklands Stadium</t>
  </si>
  <si>
    <t>Central Coast Stadium</t>
  </si>
  <si>
    <t>WIN Stadium</t>
  </si>
  <si>
    <t>Bonus</t>
  </si>
  <si>
    <t>USA</t>
  </si>
  <si>
    <t>USA CT</t>
  </si>
  <si>
    <t>UK &amp; Ireland</t>
  </si>
  <si>
    <t>Automated Scoresheet (unofficial)</t>
  </si>
  <si>
    <t>WBT Sort 1</t>
  </si>
  <si>
    <t>New Zealand vs Wales</t>
  </si>
  <si>
    <t>England vs Uruguay</t>
  </si>
  <si>
    <t>Australia vs Ireland</t>
  </si>
  <si>
    <t>South Africa vs Samoa</t>
  </si>
  <si>
    <t>Scotland vs Fiji</t>
  </si>
  <si>
    <t>France vs USA</t>
  </si>
  <si>
    <t>Namibia vs Romania</t>
  </si>
  <si>
    <t>Canada vs Tonga</t>
  </si>
  <si>
    <t>Georgia vs Uruguay</t>
  </si>
  <si>
    <t>Japan vs USA</t>
  </si>
  <si>
    <t>England vs Samoa</t>
  </si>
  <si>
    <t>Argentina vs Ireland</t>
  </si>
  <si>
    <t>France vs Scotland</t>
  </si>
  <si>
    <t>Italy vs Wales</t>
  </si>
  <si>
    <t>Australia vs Namibia</t>
  </si>
  <si>
    <t>South Africa vs Georgia</t>
  </si>
  <si>
    <t>New Zealand vs Tonga</t>
  </si>
  <si>
    <t>Fiji vs Japan</t>
  </si>
  <si>
    <t>Argentina vs Romania</t>
  </si>
  <si>
    <t>Italy vs Canada</t>
  </si>
  <si>
    <t>Scotland vs USA</t>
  </si>
  <si>
    <t>Georgia vs Samoa</t>
  </si>
  <si>
    <t>Ireland vs Namibia</t>
  </si>
  <si>
    <t>Wales vs Tonga</t>
  </si>
  <si>
    <t>South Africa vs England</t>
  </si>
  <si>
    <t>France vs Japan</t>
  </si>
  <si>
    <t>Australia vs Romania</t>
  </si>
  <si>
    <t>New Zealand vs Canada</t>
  </si>
  <si>
    <t>Samoa vs Uruguay</t>
  </si>
  <si>
    <t>Italy vs Tonga</t>
  </si>
  <si>
    <t>Fiji vs USA</t>
  </si>
  <si>
    <t>Argentina vs Namibia</t>
  </si>
  <si>
    <t>England vs Georgia</t>
  </si>
  <si>
    <t>Scotland vs Japan</t>
  </si>
  <si>
    <t>Wales vs Canada</t>
  </si>
  <si>
    <t>South Africa vs Uruguay</t>
  </si>
  <si>
    <t>France vs Fiji</t>
  </si>
  <si>
    <t>Ireland vs Romania</t>
  </si>
  <si>
    <t>New Zealand vs Italy</t>
  </si>
  <si>
    <t>Australia vs Argentina</t>
  </si>
  <si>
    <t>Game</t>
  </si>
  <si>
    <t>Opps a</t>
  </si>
  <si>
    <t>Opps b</t>
  </si>
  <si>
    <t>WBT Sort 2</t>
  </si>
  <si>
    <t>WBT Sort 3</t>
  </si>
  <si>
    <t>WBT Sort 4</t>
  </si>
  <si>
    <t>WBT Sort 5</t>
  </si>
  <si>
    <t>Points Diff Sort 1</t>
  </si>
  <si>
    <t>Pts for</t>
  </si>
  <si>
    <t>Pts Agst</t>
  </si>
  <si>
    <t>Diff</t>
  </si>
  <si>
    <t>Points Diff Sort 2</t>
  </si>
  <si>
    <t>Points Diff Sort 3</t>
  </si>
  <si>
    <t>Points Diff Sort 4</t>
  </si>
  <si>
    <t>Points Diff Sort 5</t>
  </si>
  <si>
    <t>Tries</t>
  </si>
  <si>
    <t>Lose by &lt;8</t>
  </si>
  <si>
    <t>See the official website at www.rugbyworldcup.com</t>
  </si>
  <si>
    <t>Note:  Be sure to enter # of tries if a team scores 4 or more in a pool stage match as that team wins a bonus point.</t>
  </si>
  <si>
    <t>www.daag.org/rugby</t>
  </si>
  <si>
    <t>Version 3.8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</si>
</sst>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d\,\ d\-mmm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0.0"/>
    <numFmt numFmtId="169" formatCode="0.000"/>
    <numFmt numFmtId="170" formatCode="m/d/yy\ \ h:mm"/>
    <numFmt numFmtId="171" formatCode="ddd\,\ dd\ mmm\ \ \ h:mm"/>
    <numFmt numFmtId="172" formatCode="ddd\,\ d\ mmm\ \ \ hh:mm"/>
  </numFmts>
  <fonts count="17">
    <font>
      <sz val="10"/>
      <name val="Arial"/>
      <family val="0"/>
    </font>
    <font>
      <sz val="10"/>
      <name val="Arial Narrow"/>
      <family val="2"/>
    </font>
    <font>
      <b/>
      <sz val="10"/>
      <name val="Arial Narrow"/>
      <family val="2"/>
    </font>
    <font>
      <sz val="12"/>
      <name val="Arial Narrow"/>
      <family val="2"/>
    </font>
    <font>
      <b/>
      <sz val="20"/>
      <name val="Arial Narrow"/>
      <family val="2"/>
    </font>
    <font>
      <b/>
      <sz val="14"/>
      <name val="Arial Narrow"/>
      <family val="2"/>
    </font>
    <font>
      <b/>
      <sz val="12"/>
      <name val="Arial Narrow"/>
      <family val="2"/>
    </font>
    <font>
      <b/>
      <sz val="9"/>
      <color indexed="8"/>
      <name val="Arial Narrow"/>
      <family val="2"/>
    </font>
    <font>
      <sz val="10"/>
      <color indexed="8"/>
      <name val="Arial Narrow"/>
      <family val="2"/>
    </font>
    <font>
      <sz val="8"/>
      <name val="Tahoma"/>
      <family val="2"/>
    </font>
    <font>
      <b/>
      <sz val="12"/>
      <color indexed="8"/>
      <name val="Arial Narrow"/>
      <family val="2"/>
    </font>
    <font>
      <b/>
      <sz val="14"/>
      <name val="Haettenschweiler"/>
      <family val="2"/>
    </font>
    <font>
      <b/>
      <sz val="48"/>
      <name val="Haettenschweiler"/>
      <family val="2"/>
    </font>
    <font>
      <b/>
      <i/>
      <sz val="10"/>
      <name val="Arial Narrow"/>
      <family val="2"/>
    </font>
    <font>
      <b/>
      <i/>
      <sz val="10"/>
      <color indexed="10"/>
      <name val="Arial Narrow"/>
      <family val="2"/>
    </font>
    <font>
      <sz val="12"/>
      <color indexed="8"/>
      <name val="Arial Narrow"/>
      <family val="2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6" fillId="0" borderId="1" xfId="0" applyFont="1" applyBorder="1" applyAlignment="1">
      <alignment horizontal="centerContinuous"/>
    </xf>
    <xf numFmtId="0" fontId="6" fillId="0" borderId="2" xfId="0" applyFont="1" applyBorder="1" applyAlignment="1">
      <alignment/>
    </xf>
    <xf numFmtId="0" fontId="6" fillId="0" borderId="0" xfId="0" applyFont="1" applyAlignment="1">
      <alignment horizontal="centerContinuous"/>
    </xf>
    <xf numFmtId="0" fontId="1" fillId="0" borderId="3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5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2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9" xfId="0" applyFont="1" applyBorder="1" applyAlignment="1">
      <alignment/>
    </xf>
    <xf numFmtId="0" fontId="6" fillId="0" borderId="0" xfId="0" applyFont="1" applyAlignment="1">
      <alignment/>
    </xf>
    <xf numFmtId="0" fontId="6" fillId="0" borderId="9" xfId="0" applyFont="1" applyBorder="1" applyAlignment="1">
      <alignment/>
    </xf>
    <xf numFmtId="0" fontId="1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10" fillId="0" borderId="0" xfId="0" applyFont="1" applyFill="1" applyAlignment="1">
      <alignment horizontal="right"/>
    </xf>
    <xf numFmtId="0" fontId="11" fillId="0" borderId="0" xfId="0" applyFont="1" applyAlignment="1">
      <alignment horizontal="centerContinuous"/>
    </xf>
    <xf numFmtId="0" fontId="12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6" fillId="0" borderId="3" xfId="0" applyFont="1" applyBorder="1" applyAlignment="1">
      <alignment/>
    </xf>
    <xf numFmtId="0" fontId="2" fillId="0" borderId="0" xfId="0" applyFont="1" applyBorder="1" applyAlignment="1">
      <alignment/>
    </xf>
    <xf numFmtId="0" fontId="6" fillId="0" borderId="7" xfId="0" applyFont="1" applyBorder="1" applyAlignment="1">
      <alignment horizontal="centerContinuous"/>
    </xf>
    <xf numFmtId="0" fontId="6" fillId="0" borderId="10" xfId="0" applyFont="1" applyBorder="1" applyAlignment="1">
      <alignment horizontal="centerContinuous"/>
    </xf>
    <xf numFmtId="0" fontId="6" fillId="0" borderId="8" xfId="0" applyFont="1" applyBorder="1" applyAlignment="1">
      <alignment horizontal="centerContinuous"/>
    </xf>
    <xf numFmtId="0" fontId="6" fillId="0" borderId="5" xfId="0" applyFont="1" applyBorder="1" applyAlignment="1">
      <alignment/>
    </xf>
    <xf numFmtId="0" fontId="6" fillId="0" borderId="1" xfId="0" applyFont="1" applyBorder="1" applyAlignment="1">
      <alignment/>
    </xf>
    <xf numFmtId="0" fontId="13" fillId="0" borderId="0" xfId="0" applyFont="1" applyAlignment="1">
      <alignment/>
    </xf>
    <xf numFmtId="0" fontId="1" fillId="0" borderId="0" xfId="0" applyFont="1" applyAlignment="1">
      <alignment horizontal="right" vertical="center"/>
    </xf>
    <xf numFmtId="0" fontId="1" fillId="0" borderId="11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indent="1"/>
    </xf>
    <xf numFmtId="0" fontId="6" fillId="0" borderId="5" xfId="0" applyFont="1" applyBorder="1" applyAlignment="1">
      <alignment horizontal="centerContinuous" vertical="center"/>
    </xf>
    <xf numFmtId="0" fontId="6" fillId="0" borderId="1" xfId="0" applyFont="1" applyBorder="1" applyAlignment="1">
      <alignment horizontal="centerContinuous" vertical="center"/>
    </xf>
    <xf numFmtId="0" fontId="6" fillId="0" borderId="0" xfId="0" applyFont="1" applyAlignment="1">
      <alignment vertical="center"/>
    </xf>
    <xf numFmtId="0" fontId="6" fillId="0" borderId="5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2" xfId="0" applyFont="1" applyBorder="1" applyAlignment="1">
      <alignment/>
    </xf>
    <xf numFmtId="0" fontId="2" fillId="0" borderId="4" xfId="0" applyFont="1" applyBorder="1" applyAlignment="1">
      <alignment horizontal="left" indent="1"/>
    </xf>
    <xf numFmtId="0" fontId="1" fillId="0" borderId="10" xfId="0" applyFont="1" applyBorder="1" applyAlignment="1">
      <alignment horizontal="center"/>
    </xf>
    <xf numFmtId="0" fontId="2" fillId="0" borderId="2" xfId="0" applyFont="1" applyBorder="1" applyAlignment="1">
      <alignment horizontal="centerContinuous"/>
    </xf>
    <xf numFmtId="0" fontId="2" fillId="0" borderId="10" xfId="0" applyFont="1" applyBorder="1" applyAlignment="1">
      <alignment horizontal="centerContinuous"/>
    </xf>
    <xf numFmtId="0" fontId="2" fillId="0" borderId="2" xfId="0" applyFont="1" applyBorder="1" applyAlignment="1">
      <alignment horizontal="center"/>
    </xf>
    <xf numFmtId="0" fontId="2" fillId="0" borderId="9" xfId="0" applyFont="1" applyBorder="1" applyAlignment="1">
      <alignment horizontal="left" indent="1"/>
    </xf>
    <xf numFmtId="0" fontId="2" fillId="0" borderId="8" xfId="0" applyFont="1" applyBorder="1" applyAlignment="1">
      <alignment horizontal="centerContinuous"/>
    </xf>
    <xf numFmtId="0" fontId="1" fillId="0" borderId="13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right"/>
      <protection locked="0"/>
    </xf>
    <xf numFmtId="172" fontId="8" fillId="0" borderId="0" xfId="0" applyNumberFormat="1" applyFont="1" applyAlignment="1" applyProtection="1">
      <alignment/>
      <protection locked="0"/>
    </xf>
    <xf numFmtId="0" fontId="7" fillId="0" borderId="0" xfId="0" applyFont="1" applyFill="1" applyAlignment="1" applyProtection="1">
      <alignment horizontal="right"/>
      <protection locked="0"/>
    </xf>
    <xf numFmtId="172" fontId="7" fillId="0" borderId="0" xfId="0" applyNumberFormat="1" applyFont="1" applyFill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hidden="1" locked="0"/>
    </xf>
    <xf numFmtId="1" fontId="1" fillId="0" borderId="14" xfId="0" applyNumberFormat="1" applyFont="1" applyBorder="1" applyAlignment="1" applyProtection="1">
      <alignment horizontal="center" vertical="center"/>
      <protection locked="0"/>
    </xf>
    <xf numFmtId="1" fontId="2" fillId="0" borderId="14" xfId="0" applyNumberFormat="1" applyFont="1" applyBorder="1" applyAlignment="1" applyProtection="1">
      <alignment horizontal="center" vertical="center"/>
      <protection locked="0"/>
    </xf>
    <xf numFmtId="0" fontId="14" fillId="0" borderId="0" xfId="0" applyFont="1" applyAlignment="1">
      <alignment/>
    </xf>
    <xf numFmtId="20" fontId="1" fillId="0" borderId="0" xfId="0" applyNumberFormat="1" applyFont="1" applyAlignment="1">
      <alignment/>
    </xf>
    <xf numFmtId="0" fontId="1" fillId="0" borderId="3" xfId="0" applyFont="1" applyBorder="1" applyAlignment="1" applyProtection="1">
      <alignment/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1" fillId="0" borderId="6" xfId="0" applyFont="1" applyBorder="1" applyAlignment="1" applyProtection="1">
      <alignment horizontal="center"/>
      <protection hidden="1"/>
    </xf>
    <xf numFmtId="0" fontId="1" fillId="0" borderId="4" xfId="0" applyFont="1" applyBorder="1" applyAlignment="1" applyProtection="1">
      <alignment/>
      <protection hidden="1"/>
    </xf>
    <xf numFmtId="0" fontId="1" fillId="0" borderId="2" xfId="0" applyFont="1" applyBorder="1" applyAlignment="1" applyProtection="1">
      <alignment horizontal="center"/>
      <protection hidden="1"/>
    </xf>
    <xf numFmtId="0" fontId="1" fillId="0" borderId="9" xfId="0" applyFont="1" applyBorder="1" applyAlignment="1" applyProtection="1">
      <alignment horizontal="center"/>
      <protection hidden="1"/>
    </xf>
    <xf numFmtId="0" fontId="1" fillId="0" borderId="0" xfId="0" applyFont="1" applyAlignment="1" applyProtection="1">
      <alignment horizontal="right" vertical="center"/>
      <protection hidden="1"/>
    </xf>
    <xf numFmtId="0" fontId="1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6" fillId="0" borderId="0" xfId="0" applyFont="1" applyAlignment="1">
      <alignment horizontal="right"/>
    </xf>
    <xf numFmtId="172" fontId="15" fillId="0" borderId="0" xfId="0" applyNumberFormat="1" applyFont="1" applyAlignment="1" applyProtection="1">
      <alignment/>
      <protection locked="0"/>
    </xf>
    <xf numFmtId="172" fontId="8" fillId="0" borderId="0" xfId="0" applyNumberFormat="1" applyFont="1" applyAlignment="1" applyProtection="1">
      <alignment vertical="center"/>
      <protection hidden="1"/>
    </xf>
    <xf numFmtId="16" fontId="1" fillId="0" borderId="0" xfId="0" applyNumberFormat="1" applyFont="1" applyBorder="1" applyAlignment="1" applyProtection="1">
      <alignment vertical="center"/>
      <protection/>
    </xf>
    <xf numFmtId="0" fontId="2" fillId="0" borderId="12" xfId="0" applyFont="1" applyBorder="1" applyAlignment="1" applyProtection="1">
      <alignment horizontal="centerContinuous" vertical="center"/>
      <protection/>
    </xf>
    <xf numFmtId="0" fontId="1" fillId="0" borderId="0" xfId="0" applyFont="1" applyAlignment="1" applyProtection="1">
      <alignment vertical="center"/>
      <protection/>
    </xf>
    <xf numFmtId="0" fontId="0" fillId="0" borderId="0" xfId="0" applyAlignment="1">
      <alignment horizontal="right"/>
    </xf>
    <xf numFmtId="0" fontId="1" fillId="0" borderId="0" xfId="0" applyFont="1" applyBorder="1" applyAlignment="1" applyProtection="1">
      <alignment horizontal="center" vertical="center"/>
      <protection/>
    </xf>
    <xf numFmtId="0" fontId="6" fillId="0" borderId="5" xfId="0" applyFont="1" applyBorder="1" applyAlignment="1" applyProtection="1">
      <alignment horizontal="centerContinuous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dxfs count="2">
    <dxf>
      <font>
        <color rgb="FFFFFFFF"/>
      </font>
      <fill>
        <patternFill patternType="none">
          <bgColor indexed="65"/>
        </patternFill>
      </fill>
      <border/>
    </dxf>
    <dxf>
      <font>
        <b/>
        <i/>
        <color rgb="FF0000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1.png" /><Relationship Id="rId3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866775</xdr:colOff>
      <xdr:row>43</xdr:row>
      <xdr:rowOff>38100</xdr:rowOff>
    </xdr:from>
    <xdr:to>
      <xdr:col>25</xdr:col>
      <xdr:colOff>104775</xdr:colOff>
      <xdr:row>59</xdr:row>
      <xdr:rowOff>114300</xdr:rowOff>
    </xdr:to>
    <xdr:pic>
      <xdr:nvPicPr>
        <xdr:cNvPr id="1" name="Picture 16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7398" r="694" b="1654"/>
        <a:stretch>
          <a:fillRect/>
        </a:stretch>
      </xdr:blipFill>
      <xdr:spPr>
        <a:xfrm>
          <a:off x="5715000" y="8115300"/>
          <a:ext cx="4048125" cy="2886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0</xdr:row>
      <xdr:rowOff>38100</xdr:rowOff>
    </xdr:from>
    <xdr:to>
      <xdr:col>2</xdr:col>
      <xdr:colOff>952500</xdr:colOff>
      <xdr:row>4</xdr:row>
      <xdr:rowOff>66675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38100"/>
          <a:ext cx="942975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85725</xdr:colOff>
      <xdr:row>0</xdr:row>
      <xdr:rowOff>38100</xdr:rowOff>
    </xdr:from>
    <xdr:to>
      <xdr:col>23</xdr:col>
      <xdr:colOff>504825</xdr:colOff>
      <xdr:row>4</xdr:row>
      <xdr:rowOff>66675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10600" y="38100"/>
          <a:ext cx="95250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390525</xdr:colOff>
      <xdr:row>0</xdr:row>
      <xdr:rowOff>114300</xdr:rowOff>
    </xdr:from>
    <xdr:to>
      <xdr:col>21</xdr:col>
      <xdr:colOff>219075</xdr:colOff>
      <xdr:row>1</xdr:row>
      <xdr:rowOff>600075</xdr:rowOff>
    </xdr:to>
    <xdr:pic>
      <xdr:nvPicPr>
        <xdr:cNvPr id="4" name="Picture 1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57375" y="114300"/>
          <a:ext cx="64674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FX79"/>
  <sheetViews>
    <sheetView showGridLines="0" tabSelected="1" zoomScale="70" zoomScaleNormal="70" workbookViewId="0" topLeftCell="A36">
      <selection activeCell="H70" sqref="H70"/>
    </sheetView>
  </sheetViews>
  <sheetFormatPr defaultColWidth="9.140625" defaultRowHeight="12.75"/>
  <cols>
    <col min="1" max="2" width="0.85546875" style="1" customWidth="1"/>
    <col min="3" max="3" width="20.28125" style="1" customWidth="1"/>
    <col min="4" max="4" width="13.7109375" style="1" customWidth="1"/>
    <col min="5" max="5" width="0.71875" style="1" customWidth="1"/>
    <col min="6" max="6" width="4.140625" style="1" customWidth="1"/>
    <col min="7" max="8" width="5.140625" style="1" customWidth="1"/>
    <col min="9" max="9" width="4.140625" style="1" customWidth="1"/>
    <col min="10" max="10" width="0.5625" style="1" customWidth="1"/>
    <col min="11" max="11" width="11.7109375" style="1" customWidth="1"/>
    <col min="12" max="12" width="5.421875" style="1" customWidth="1"/>
    <col min="13" max="13" width="13.28125" style="1" customWidth="1"/>
    <col min="14" max="14" width="19.57421875" style="1" hidden="1" customWidth="1"/>
    <col min="15" max="15" width="2.7109375" style="1" customWidth="1"/>
    <col min="16" max="16" width="11.7109375" style="1" customWidth="1"/>
    <col min="17" max="20" width="3.7109375" style="1" customWidth="1"/>
    <col min="21" max="22" width="6.28125" style="1" customWidth="1"/>
    <col min="23" max="23" width="8.00390625" style="1" customWidth="1"/>
    <col min="24" max="24" width="8.140625" style="1" customWidth="1"/>
    <col min="25" max="25" width="0.85546875" style="1" customWidth="1"/>
    <col min="26" max="26" width="1.7109375" style="1" customWidth="1"/>
    <col min="27" max="31" width="13.7109375" style="1" hidden="1" customWidth="1"/>
    <col min="32" max="32" width="1.7109375" style="1" hidden="1" customWidth="1"/>
    <col min="33" max="33" width="10.140625" style="1" hidden="1" customWidth="1"/>
    <col min="34" max="37" width="4.7109375" style="1" hidden="1" customWidth="1"/>
    <col min="38" max="39" width="4.8515625" style="1" hidden="1" customWidth="1"/>
    <col min="40" max="40" width="6.57421875" style="1" hidden="1" customWidth="1"/>
    <col min="41" max="41" width="4.7109375" style="1" hidden="1" customWidth="1"/>
    <col min="42" max="42" width="2.7109375" style="1" hidden="1" customWidth="1"/>
    <col min="43" max="43" width="9.140625" style="1" hidden="1" customWidth="1"/>
    <col min="44" max="44" width="4.7109375" style="1" hidden="1" customWidth="1"/>
    <col min="45" max="45" width="2.7109375" style="1" hidden="1" customWidth="1"/>
    <col min="46" max="46" width="9.140625" style="1" hidden="1" customWidth="1"/>
    <col min="47" max="47" width="4.7109375" style="1" hidden="1" customWidth="1"/>
    <col min="48" max="48" width="2.7109375" style="1" hidden="1" customWidth="1"/>
    <col min="49" max="49" width="9.140625" style="1" hidden="1" customWidth="1"/>
    <col min="50" max="50" width="4.7109375" style="1" hidden="1" customWidth="1"/>
    <col min="51" max="51" width="2.7109375" style="1" hidden="1" customWidth="1"/>
    <col min="52" max="52" width="9.140625" style="1" hidden="1" customWidth="1"/>
    <col min="53" max="53" width="4.7109375" style="1" hidden="1" customWidth="1"/>
    <col min="54" max="54" width="2.7109375" style="1" hidden="1" customWidth="1"/>
    <col min="55" max="55" width="9.140625" style="1" hidden="1" customWidth="1"/>
    <col min="56" max="56" width="4.7109375" style="1" hidden="1" customWidth="1"/>
    <col min="57" max="58" width="17.8515625" style="1" hidden="1" customWidth="1"/>
    <col min="59" max="59" width="6.421875" style="1" hidden="1" customWidth="1"/>
    <col min="60" max="60" width="8.8515625" style="1" hidden="1" customWidth="1"/>
    <col min="61" max="61" width="2.7109375" style="1" hidden="1" customWidth="1"/>
    <col min="62" max="62" width="9.140625" style="1" hidden="1" customWidth="1"/>
    <col min="63" max="63" width="4.7109375" style="1" hidden="1" customWidth="1"/>
    <col min="64" max="65" width="16.28125" style="1" hidden="1" customWidth="1"/>
    <col min="66" max="66" width="6.00390625" style="1" hidden="1" customWidth="1"/>
    <col min="67" max="67" width="8.28125" style="1" hidden="1" customWidth="1"/>
    <col min="68" max="68" width="2.7109375" style="1" hidden="1" customWidth="1"/>
    <col min="69" max="69" width="9.140625" style="1" hidden="1" customWidth="1"/>
    <col min="70" max="70" width="4.7109375" style="1" hidden="1" customWidth="1"/>
    <col min="71" max="72" width="18.00390625" style="1" hidden="1" customWidth="1"/>
    <col min="73" max="73" width="6.00390625" style="1" hidden="1" customWidth="1"/>
    <col min="74" max="74" width="8.28125" style="1" hidden="1" customWidth="1"/>
    <col min="75" max="75" width="2.7109375" style="1" hidden="1" customWidth="1"/>
    <col min="76" max="76" width="9.140625" style="1" hidden="1" customWidth="1"/>
    <col min="77" max="77" width="4.7109375" style="1" hidden="1" customWidth="1"/>
    <col min="78" max="79" width="18.00390625" style="1" hidden="1" customWidth="1"/>
    <col min="80" max="80" width="6.00390625" style="1" hidden="1" customWidth="1"/>
    <col min="81" max="81" width="8.28125" style="1" hidden="1" customWidth="1"/>
    <col min="82" max="82" width="2.7109375" style="1" hidden="1" customWidth="1"/>
    <col min="83" max="83" width="9.140625" style="1" hidden="1" customWidth="1"/>
    <col min="84" max="84" width="4.7109375" style="1" hidden="1" customWidth="1"/>
    <col min="85" max="86" width="19.00390625" style="1" hidden="1" customWidth="1"/>
    <col min="87" max="87" width="6.00390625" style="1" hidden="1" customWidth="1"/>
    <col min="88" max="88" width="8.8515625" style="1" hidden="1" customWidth="1"/>
    <col min="89" max="89" width="2.7109375" style="1" hidden="1" customWidth="1"/>
    <col min="90" max="90" width="9.140625" style="1" hidden="1" customWidth="1"/>
    <col min="91" max="91" width="4.7109375" style="1" hidden="1" customWidth="1"/>
    <col min="92" max="93" width="16.28125" style="1" hidden="1" customWidth="1"/>
    <col min="94" max="94" width="6.00390625" style="1" hidden="1" customWidth="1"/>
    <col min="95" max="98" width="8.28125" style="1" hidden="1" customWidth="1"/>
    <col min="99" max="99" width="2.7109375" style="1" hidden="1" customWidth="1"/>
    <col min="100" max="100" width="8.7109375" style="1" hidden="1" customWidth="1"/>
    <col min="101" max="101" width="4.140625" style="1" hidden="1" customWidth="1"/>
    <col min="102" max="103" width="19.00390625" style="1" hidden="1" customWidth="1"/>
    <col min="104" max="104" width="6.00390625" style="1" hidden="1" customWidth="1"/>
    <col min="105" max="105" width="8.8515625" style="1" hidden="1" customWidth="1"/>
    <col min="106" max="106" width="6.8515625" style="1" hidden="1" customWidth="1"/>
    <col min="107" max="107" width="8.28125" style="1" hidden="1" customWidth="1"/>
    <col min="108" max="108" width="5.8515625" style="1" hidden="1" customWidth="1"/>
    <col min="109" max="109" width="2.7109375" style="1" hidden="1" customWidth="1"/>
    <col min="110" max="110" width="8.8515625" style="1" hidden="1" customWidth="1"/>
    <col min="111" max="111" width="4.140625" style="1" hidden="1" customWidth="1"/>
    <col min="112" max="113" width="19.00390625" style="1" hidden="1" customWidth="1"/>
    <col min="114" max="114" width="6.00390625" style="1" hidden="1" customWidth="1"/>
    <col min="115" max="115" width="8.8515625" style="1" hidden="1" customWidth="1"/>
    <col min="116" max="116" width="6.8515625" style="1" hidden="1" customWidth="1"/>
    <col min="117" max="117" width="8.28125" style="1" hidden="1" customWidth="1"/>
    <col min="118" max="118" width="5.8515625" style="1" hidden="1" customWidth="1"/>
    <col min="119" max="119" width="2.7109375" style="1" hidden="1" customWidth="1"/>
    <col min="120" max="120" width="8.8515625" style="1" hidden="1" customWidth="1"/>
    <col min="121" max="121" width="5.00390625" style="1" hidden="1" customWidth="1"/>
    <col min="122" max="123" width="19.00390625" style="1" hidden="1" customWidth="1"/>
    <col min="124" max="124" width="6.00390625" style="1" hidden="1" customWidth="1"/>
    <col min="125" max="125" width="8.8515625" style="1" hidden="1" customWidth="1"/>
    <col min="126" max="126" width="6.8515625" style="1" hidden="1" customWidth="1"/>
    <col min="127" max="127" width="8.28125" style="1" hidden="1" customWidth="1"/>
    <col min="128" max="128" width="5.8515625" style="1" hidden="1" customWidth="1"/>
    <col min="129" max="129" width="2.7109375" style="1" hidden="1" customWidth="1"/>
    <col min="130" max="130" width="8.8515625" style="1" hidden="1" customWidth="1"/>
    <col min="131" max="131" width="4.140625" style="1" hidden="1" customWidth="1"/>
    <col min="132" max="133" width="19.00390625" style="1" hidden="1" customWidth="1"/>
    <col min="134" max="134" width="6.00390625" style="1" hidden="1" customWidth="1"/>
    <col min="135" max="135" width="8.8515625" style="1" hidden="1" customWidth="1"/>
    <col min="136" max="136" width="6.8515625" style="1" hidden="1" customWidth="1"/>
    <col min="137" max="137" width="8.28125" style="1" hidden="1" customWidth="1"/>
    <col min="138" max="138" width="5.8515625" style="1" hidden="1" customWidth="1"/>
    <col min="139" max="139" width="2.7109375" style="1" hidden="1" customWidth="1"/>
    <col min="140" max="140" width="8.8515625" style="1" hidden="1" customWidth="1"/>
    <col min="141" max="141" width="4.140625" style="1" hidden="1" customWidth="1"/>
    <col min="142" max="143" width="19.00390625" style="1" hidden="1" customWidth="1"/>
    <col min="144" max="144" width="6.00390625" style="1" hidden="1" customWidth="1"/>
    <col min="145" max="145" width="8.8515625" style="1" hidden="1" customWidth="1"/>
    <col min="146" max="146" width="6.8515625" style="1" hidden="1" customWidth="1"/>
    <col min="147" max="147" width="8.28125" style="1" hidden="1" customWidth="1"/>
    <col min="148" max="148" width="5.8515625" style="1" hidden="1" customWidth="1"/>
    <col min="149" max="149" width="2.7109375" style="1" hidden="1" customWidth="1"/>
    <col min="150" max="150" width="9.140625" style="1" hidden="1" customWidth="1"/>
    <col min="151" max="156" width="4.7109375" style="1" hidden="1" customWidth="1"/>
    <col min="157" max="157" width="6.57421875" style="1" hidden="1" customWidth="1"/>
    <col min="158" max="158" width="4.7109375" style="1" hidden="1" customWidth="1"/>
    <col min="159" max="159" width="1.7109375" style="1" hidden="1" customWidth="1"/>
    <col min="160" max="160" width="9.140625" style="1" hidden="1" customWidth="1"/>
    <col min="161" max="161" width="20.28125" style="1" hidden="1" customWidth="1"/>
    <col min="162" max="162" width="2.7109375" style="1" hidden="1" customWidth="1"/>
    <col min="163" max="171" width="18.28125" style="1" hidden="1" customWidth="1"/>
    <col min="172" max="175" width="9.140625" style="1" hidden="1" customWidth="1"/>
    <col min="176" max="176" width="21.140625" style="1" hidden="1" customWidth="1"/>
    <col min="177" max="177" width="3.140625" style="1" hidden="1" customWidth="1"/>
    <col min="178" max="178" width="9.140625" style="1" hidden="1" customWidth="1"/>
    <col min="179" max="179" width="21.140625" style="1" hidden="1" customWidth="1"/>
    <col min="180" max="180" width="3.140625" style="1" hidden="1" customWidth="1"/>
    <col min="181" max="182" width="9.140625" style="1" hidden="1" customWidth="1"/>
    <col min="183" max="16384" width="9.140625" style="1" customWidth="1"/>
  </cols>
  <sheetData>
    <row r="1" spans="1:32" s="6" customFormat="1" ht="25.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/>
      <c r="AA1" s="8"/>
      <c r="AB1" s="8"/>
      <c r="AC1" s="8"/>
      <c r="AD1" s="8"/>
      <c r="AE1" s="8"/>
      <c r="AF1" s="8"/>
    </row>
    <row r="2" spans="1:32" s="7" customFormat="1" ht="54.75">
      <c r="A2" s="9"/>
      <c r="B2" s="9"/>
      <c r="C2" s="36"/>
      <c r="D2" s="35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/>
      <c r="AA2" s="9"/>
      <c r="AB2" s="9"/>
      <c r="AC2" s="9"/>
      <c r="AD2" s="9"/>
      <c r="AE2" s="9"/>
      <c r="AF2" s="9"/>
    </row>
    <row r="3" spans="3:32" s="5" customFormat="1" ht="13.5" customHeight="1"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/>
      <c r="AA3" s="10"/>
      <c r="AB3" s="10"/>
      <c r="AC3" s="10"/>
      <c r="AD3" s="10"/>
      <c r="AE3" s="10"/>
      <c r="AF3" s="10"/>
    </row>
    <row r="4" spans="1:158" ht="13.5" customHeight="1">
      <c r="A4" s="13" t="s">
        <v>88</v>
      </c>
      <c r="B4" s="13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37"/>
      <c r="Q4" s="37"/>
      <c r="R4" s="37"/>
      <c r="S4" s="37"/>
      <c r="T4" s="37"/>
      <c r="U4" s="37"/>
      <c r="V4" s="37"/>
      <c r="W4" s="37"/>
      <c r="X4" s="37"/>
      <c r="AG4" s="21" t="s">
        <v>16</v>
      </c>
      <c r="AH4" s="21"/>
      <c r="AI4" s="21"/>
      <c r="AJ4" s="21"/>
      <c r="AK4" s="21"/>
      <c r="AL4" s="21"/>
      <c r="AM4" s="21"/>
      <c r="AN4" s="21"/>
      <c r="AO4" s="21"/>
      <c r="AP4" s="2"/>
      <c r="AQ4" s="21" t="s">
        <v>17</v>
      </c>
      <c r="AR4" s="21"/>
      <c r="AS4" s="2"/>
      <c r="AT4" s="21" t="s">
        <v>18</v>
      </c>
      <c r="AU4" s="21"/>
      <c r="AV4" s="2"/>
      <c r="AW4" s="21" t="s">
        <v>19</v>
      </c>
      <c r="AX4" s="21"/>
      <c r="AY4" s="2"/>
      <c r="AZ4" s="21" t="s">
        <v>30</v>
      </c>
      <c r="BA4" s="21"/>
      <c r="BB4" s="2"/>
      <c r="BC4" s="21" t="s">
        <v>31</v>
      </c>
      <c r="BD4" s="21"/>
      <c r="BE4" s="21"/>
      <c r="BF4" s="21"/>
      <c r="BG4" s="21"/>
      <c r="BH4" s="21"/>
      <c r="BI4" s="2"/>
      <c r="BJ4" s="21" t="s">
        <v>89</v>
      </c>
      <c r="BK4" s="21"/>
      <c r="BL4" s="21"/>
      <c r="BM4" s="21"/>
      <c r="BN4" s="21"/>
      <c r="BO4" s="21"/>
      <c r="BP4" s="2"/>
      <c r="BQ4" s="21" t="s">
        <v>133</v>
      </c>
      <c r="BR4" s="21"/>
      <c r="BS4" s="21"/>
      <c r="BT4" s="21"/>
      <c r="BU4" s="21"/>
      <c r="BV4" s="21"/>
      <c r="BW4" s="2"/>
      <c r="BX4" s="21" t="s">
        <v>134</v>
      </c>
      <c r="BY4" s="22"/>
      <c r="BZ4" s="22"/>
      <c r="CA4" s="22"/>
      <c r="CB4" s="22"/>
      <c r="CC4" s="22"/>
      <c r="CE4" s="21" t="s">
        <v>135</v>
      </c>
      <c r="CF4" s="22"/>
      <c r="CG4" s="22"/>
      <c r="CH4" s="22"/>
      <c r="CI4" s="22"/>
      <c r="CJ4" s="22"/>
      <c r="CL4" s="21" t="s">
        <v>136</v>
      </c>
      <c r="CM4" s="22"/>
      <c r="CN4" s="22"/>
      <c r="CO4" s="22"/>
      <c r="CP4" s="22"/>
      <c r="CQ4" s="22"/>
      <c r="CR4" s="20"/>
      <c r="CS4" s="20"/>
      <c r="CT4" s="20"/>
      <c r="CV4" s="21" t="s">
        <v>137</v>
      </c>
      <c r="CW4" s="22"/>
      <c r="CX4" s="22"/>
      <c r="CY4" s="22"/>
      <c r="CZ4" s="22"/>
      <c r="DA4" s="22"/>
      <c r="DB4" s="22"/>
      <c r="DC4" s="22"/>
      <c r="DD4" s="22"/>
      <c r="DF4" s="21" t="s">
        <v>141</v>
      </c>
      <c r="DG4" s="22"/>
      <c r="DH4" s="22"/>
      <c r="DI4" s="22"/>
      <c r="DJ4" s="22"/>
      <c r="DK4" s="22"/>
      <c r="DL4" s="22"/>
      <c r="DM4" s="22"/>
      <c r="DN4" s="22"/>
      <c r="DP4" s="21" t="s">
        <v>142</v>
      </c>
      <c r="DQ4" s="22"/>
      <c r="DR4" s="22"/>
      <c r="DS4" s="22"/>
      <c r="DT4" s="22"/>
      <c r="DU4" s="22"/>
      <c r="DV4" s="22"/>
      <c r="DW4" s="22"/>
      <c r="DX4" s="22"/>
      <c r="DZ4" s="21" t="s">
        <v>143</v>
      </c>
      <c r="EA4" s="22"/>
      <c r="EB4" s="22"/>
      <c r="EC4" s="22"/>
      <c r="ED4" s="22"/>
      <c r="EE4" s="22"/>
      <c r="EF4" s="22"/>
      <c r="EG4" s="22"/>
      <c r="EH4" s="22"/>
      <c r="EJ4" s="21" t="s">
        <v>144</v>
      </c>
      <c r="EK4" s="22"/>
      <c r="EL4" s="22"/>
      <c r="EM4" s="22"/>
      <c r="EN4" s="22"/>
      <c r="EO4" s="22"/>
      <c r="EP4" s="22"/>
      <c r="EQ4" s="22"/>
      <c r="ER4" s="22"/>
      <c r="ET4" s="21" t="s">
        <v>32</v>
      </c>
      <c r="EU4" s="22"/>
      <c r="EV4" s="22"/>
      <c r="EW4" s="22"/>
      <c r="EX4" s="22"/>
      <c r="EY4" s="22"/>
      <c r="EZ4" s="22"/>
      <c r="FA4" s="22"/>
      <c r="FB4" s="22"/>
    </row>
    <row r="5" spans="33:98" ht="13.5" customHeight="1">
      <c r="AG5" s="2"/>
      <c r="AH5" s="2"/>
      <c r="AI5" s="2"/>
      <c r="AJ5" s="2"/>
      <c r="AK5" s="2"/>
      <c r="AL5" s="2"/>
      <c r="AM5" s="2"/>
      <c r="AN5" s="2"/>
      <c r="AO5" s="2"/>
      <c r="AP5" s="2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</row>
    <row r="6" spans="3:173" ht="13.5" customHeight="1">
      <c r="C6" s="58"/>
      <c r="D6" s="43"/>
      <c r="E6" s="43"/>
      <c r="F6" s="43"/>
      <c r="G6" s="55" t="s">
        <v>61</v>
      </c>
      <c r="H6" s="43"/>
      <c r="I6" s="43"/>
      <c r="J6" s="43"/>
      <c r="K6" s="43"/>
      <c r="L6" s="43"/>
      <c r="M6" s="44"/>
      <c r="N6" s="44"/>
      <c r="P6" s="56" t="s">
        <v>60</v>
      </c>
      <c r="Q6" s="18"/>
      <c r="R6" s="18"/>
      <c r="S6" s="18"/>
      <c r="T6" s="18"/>
      <c r="U6" s="18"/>
      <c r="V6" s="18"/>
      <c r="W6" s="18"/>
      <c r="X6" s="19"/>
      <c r="AA6" s="2" t="s">
        <v>1</v>
      </c>
      <c r="AB6" s="2" t="s">
        <v>2</v>
      </c>
      <c r="AC6" s="2" t="s">
        <v>146</v>
      </c>
      <c r="AD6" s="2" t="s">
        <v>145</v>
      </c>
      <c r="AE6" s="2" t="s">
        <v>145</v>
      </c>
      <c r="AG6" s="2" t="s">
        <v>60</v>
      </c>
      <c r="FE6" s="21" t="s">
        <v>65</v>
      </c>
      <c r="FF6" s="22"/>
      <c r="FG6" s="22"/>
      <c r="FH6" s="22"/>
      <c r="FI6" s="22"/>
      <c r="FJ6" s="22"/>
      <c r="FK6" s="22"/>
      <c r="FL6" s="22"/>
      <c r="FM6" s="22"/>
      <c r="FN6" s="22"/>
      <c r="FO6" s="22"/>
      <c r="FP6" s="22"/>
      <c r="FQ6" s="22"/>
    </row>
    <row r="7" spans="3:173" ht="13.5" customHeight="1">
      <c r="C7" s="40"/>
      <c r="D7" s="41"/>
      <c r="E7" s="41"/>
      <c r="F7" s="60"/>
      <c r="G7"/>
      <c r="H7" s="41"/>
      <c r="I7" s="60"/>
      <c r="J7"/>
      <c r="K7" s="62"/>
      <c r="L7" s="62"/>
      <c r="M7" s="65"/>
      <c r="N7" s="42"/>
      <c r="P7" s="38"/>
      <c r="Q7" s="20"/>
      <c r="R7" s="20"/>
      <c r="S7" s="20"/>
      <c r="T7" s="20"/>
      <c r="U7" s="20"/>
      <c r="V7" s="20"/>
      <c r="W7" s="20"/>
      <c r="X7" s="28"/>
      <c r="AA7" s="2"/>
      <c r="AB7" s="2"/>
      <c r="AC7" s="2"/>
      <c r="AD7" s="2"/>
      <c r="AE7" s="2"/>
      <c r="AG7" s="2"/>
      <c r="FE7" s="39"/>
      <c r="FF7" s="20"/>
      <c r="FG7" s="20"/>
      <c r="FH7" s="20"/>
      <c r="FI7" s="20"/>
      <c r="FJ7" s="20"/>
      <c r="FK7" s="20"/>
      <c r="FL7" s="20"/>
      <c r="FM7" s="20"/>
      <c r="FN7" s="20"/>
      <c r="FO7" s="20"/>
      <c r="FP7" s="20"/>
      <c r="FQ7" s="20"/>
    </row>
    <row r="8" spans="3:171" ht="13.5" customHeight="1">
      <c r="C8" s="59" t="s">
        <v>66</v>
      </c>
      <c r="D8" s="12"/>
      <c r="E8" s="12"/>
      <c r="F8" s="17" t="s">
        <v>145</v>
      </c>
      <c r="G8" s="61" t="s">
        <v>68</v>
      </c>
      <c r="H8" s="61"/>
      <c r="I8" s="17" t="s">
        <v>145</v>
      </c>
      <c r="J8" s="12"/>
      <c r="K8" s="21"/>
      <c r="L8" s="63" t="s">
        <v>56</v>
      </c>
      <c r="M8" s="64" t="s">
        <v>29</v>
      </c>
      <c r="N8" s="31" t="s">
        <v>0</v>
      </c>
      <c r="P8" s="14"/>
      <c r="Q8" s="24" t="s">
        <v>3</v>
      </c>
      <c r="R8" s="24" t="s">
        <v>4</v>
      </c>
      <c r="S8" s="24" t="s">
        <v>5</v>
      </c>
      <c r="T8" s="24" t="s">
        <v>6</v>
      </c>
      <c r="U8" s="24" t="s">
        <v>7</v>
      </c>
      <c r="V8" s="24" t="s">
        <v>14</v>
      </c>
      <c r="W8" s="24" t="s">
        <v>84</v>
      </c>
      <c r="X8" s="25" t="s">
        <v>8</v>
      </c>
      <c r="Y8" s="4"/>
      <c r="Z8" s="4"/>
      <c r="AH8" s="4" t="s">
        <v>3</v>
      </c>
      <c r="AI8" s="4" t="s">
        <v>4</v>
      </c>
      <c r="AJ8" s="4" t="s">
        <v>5</v>
      </c>
      <c r="AK8" s="4" t="s">
        <v>6</v>
      </c>
      <c r="AL8" s="4" t="s">
        <v>7</v>
      </c>
      <c r="AM8" s="4" t="s">
        <v>14</v>
      </c>
      <c r="AN8" s="4" t="s">
        <v>84</v>
      </c>
      <c r="AO8" s="4" t="s">
        <v>15</v>
      </c>
      <c r="AQ8" s="1" t="s">
        <v>20</v>
      </c>
      <c r="AR8" s="3" t="s">
        <v>15</v>
      </c>
      <c r="AS8" s="3"/>
      <c r="AT8" s="1" t="s">
        <v>20</v>
      </c>
      <c r="AU8" s="3" t="s">
        <v>15</v>
      </c>
      <c r="AV8" s="3"/>
      <c r="AW8" s="1" t="s">
        <v>20</v>
      </c>
      <c r="AX8" s="3" t="s">
        <v>15</v>
      </c>
      <c r="AY8" s="3"/>
      <c r="AZ8" s="1" t="s">
        <v>20</v>
      </c>
      <c r="BA8" s="3" t="s">
        <v>15</v>
      </c>
      <c r="BC8" s="1" t="s">
        <v>20</v>
      </c>
      <c r="BD8" s="3" t="s">
        <v>15</v>
      </c>
      <c r="BE8" s="4" t="s">
        <v>131</v>
      </c>
      <c r="BF8" s="4" t="s">
        <v>132</v>
      </c>
      <c r="BG8" s="4" t="s">
        <v>130</v>
      </c>
      <c r="BH8" s="4" t="s">
        <v>1</v>
      </c>
      <c r="BJ8" s="1" t="s">
        <v>20</v>
      </c>
      <c r="BK8" s="3" t="s">
        <v>15</v>
      </c>
      <c r="BL8" s="4" t="s">
        <v>131</v>
      </c>
      <c r="BM8" s="4" t="s">
        <v>132</v>
      </c>
      <c r="BN8" s="4" t="s">
        <v>130</v>
      </c>
      <c r="BO8" s="4" t="s">
        <v>1</v>
      </c>
      <c r="BQ8" s="1" t="s">
        <v>20</v>
      </c>
      <c r="BR8" s="3" t="s">
        <v>15</v>
      </c>
      <c r="BS8" s="4" t="s">
        <v>131</v>
      </c>
      <c r="BT8" s="4" t="s">
        <v>132</v>
      </c>
      <c r="BU8" s="4" t="s">
        <v>130</v>
      </c>
      <c r="BV8" s="4" t="s">
        <v>1</v>
      </c>
      <c r="BX8" s="1" t="s">
        <v>20</v>
      </c>
      <c r="BY8" s="3" t="s">
        <v>15</v>
      </c>
      <c r="BZ8" s="4" t="s">
        <v>131</v>
      </c>
      <c r="CA8" s="4" t="s">
        <v>132</v>
      </c>
      <c r="CB8" s="4" t="s">
        <v>130</v>
      </c>
      <c r="CC8" s="4" t="s">
        <v>1</v>
      </c>
      <c r="CE8" s="1" t="s">
        <v>20</v>
      </c>
      <c r="CF8" s="3" t="s">
        <v>15</v>
      </c>
      <c r="CG8" s="4" t="s">
        <v>131</v>
      </c>
      <c r="CH8" s="4" t="s">
        <v>132</v>
      </c>
      <c r="CI8" s="4" t="s">
        <v>130</v>
      </c>
      <c r="CJ8" s="4" t="s">
        <v>1</v>
      </c>
      <c r="CL8" s="1" t="s">
        <v>20</v>
      </c>
      <c r="CM8" s="3" t="s">
        <v>15</v>
      </c>
      <c r="CN8" s="4" t="s">
        <v>131</v>
      </c>
      <c r="CO8" s="4" t="s">
        <v>132</v>
      </c>
      <c r="CP8" s="4" t="s">
        <v>130</v>
      </c>
      <c r="CQ8" s="4" t="s">
        <v>1</v>
      </c>
      <c r="CR8" s="4" t="s">
        <v>138</v>
      </c>
      <c r="CS8" s="4" t="s">
        <v>139</v>
      </c>
      <c r="CT8" s="4" t="s">
        <v>140</v>
      </c>
      <c r="CV8" s="1" t="s">
        <v>20</v>
      </c>
      <c r="CW8" s="1" t="s">
        <v>15</v>
      </c>
      <c r="CX8" s="4" t="s">
        <v>131</v>
      </c>
      <c r="CY8" s="4" t="s">
        <v>132</v>
      </c>
      <c r="CZ8" s="4" t="s">
        <v>130</v>
      </c>
      <c r="DA8" s="4" t="s">
        <v>1</v>
      </c>
      <c r="DB8" s="4" t="s">
        <v>138</v>
      </c>
      <c r="DC8" s="4" t="s">
        <v>139</v>
      </c>
      <c r="DD8" s="4" t="s">
        <v>140</v>
      </c>
      <c r="DF8" s="1" t="s">
        <v>20</v>
      </c>
      <c r="DG8" s="1" t="s">
        <v>15</v>
      </c>
      <c r="DH8" s="4" t="s">
        <v>131</v>
      </c>
      <c r="DI8" s="4" t="s">
        <v>132</v>
      </c>
      <c r="DJ8" s="4" t="s">
        <v>130</v>
      </c>
      <c r="DK8" s="4" t="s">
        <v>1</v>
      </c>
      <c r="DL8" s="4" t="s">
        <v>138</v>
      </c>
      <c r="DM8" s="4" t="s">
        <v>139</v>
      </c>
      <c r="DN8" s="4" t="s">
        <v>140</v>
      </c>
      <c r="DP8" s="1" t="s">
        <v>20</v>
      </c>
      <c r="DQ8" s="1" t="s">
        <v>15</v>
      </c>
      <c r="DR8" s="4" t="s">
        <v>131</v>
      </c>
      <c r="DS8" s="4" t="s">
        <v>132</v>
      </c>
      <c r="DT8" s="4" t="s">
        <v>130</v>
      </c>
      <c r="DU8" s="4" t="s">
        <v>1</v>
      </c>
      <c r="DV8" s="4" t="s">
        <v>138</v>
      </c>
      <c r="DW8" s="4" t="s">
        <v>139</v>
      </c>
      <c r="DX8" s="4" t="s">
        <v>140</v>
      </c>
      <c r="DZ8" s="1" t="s">
        <v>20</v>
      </c>
      <c r="EA8" s="1" t="s">
        <v>15</v>
      </c>
      <c r="EB8" s="4" t="s">
        <v>131</v>
      </c>
      <c r="EC8" s="4" t="s">
        <v>132</v>
      </c>
      <c r="ED8" s="4" t="s">
        <v>130</v>
      </c>
      <c r="EE8" s="4" t="s">
        <v>1</v>
      </c>
      <c r="EF8" s="4" t="s">
        <v>138</v>
      </c>
      <c r="EG8" s="4" t="s">
        <v>139</v>
      </c>
      <c r="EH8" s="4" t="s">
        <v>140</v>
      </c>
      <c r="EJ8" s="1" t="s">
        <v>20</v>
      </c>
      <c r="EK8" s="1" t="s">
        <v>15</v>
      </c>
      <c r="EL8" s="4" t="s">
        <v>131</v>
      </c>
      <c r="EM8" s="4" t="s">
        <v>132</v>
      </c>
      <c r="EN8" s="4" t="s">
        <v>130</v>
      </c>
      <c r="EO8" s="4" t="s">
        <v>1</v>
      </c>
      <c r="EP8" s="4" t="s">
        <v>138</v>
      </c>
      <c r="EQ8" s="4" t="s">
        <v>139</v>
      </c>
      <c r="ER8" s="4" t="s">
        <v>140</v>
      </c>
      <c r="ET8" s="1" t="s">
        <v>20</v>
      </c>
      <c r="EU8" s="4" t="s">
        <v>3</v>
      </c>
      <c r="EV8" s="4" t="s">
        <v>4</v>
      </c>
      <c r="EW8" s="4" t="s">
        <v>5</v>
      </c>
      <c r="EX8" s="4" t="s">
        <v>6</v>
      </c>
      <c r="EY8" s="4" t="s">
        <v>7</v>
      </c>
      <c r="EZ8" s="4" t="s">
        <v>14</v>
      </c>
      <c r="FA8" s="4" t="s">
        <v>84</v>
      </c>
      <c r="FB8" s="4" t="s">
        <v>15</v>
      </c>
      <c r="FE8" s="67"/>
      <c r="FF8" s="67"/>
      <c r="FG8" s="72">
        <v>7</v>
      </c>
      <c r="FH8" s="67"/>
      <c r="FI8" s="67"/>
      <c r="FJ8" s="67"/>
      <c r="FK8" s="67"/>
      <c r="FL8" s="67"/>
      <c r="FM8" s="67"/>
      <c r="FN8" s="67"/>
      <c r="FO8" s="67"/>
    </row>
    <row r="9" spans="3:172" ht="13.5" customHeight="1">
      <c r="C9" s="67"/>
      <c r="P9" s="77" t="str">
        <f>ET9</f>
        <v>Australia</v>
      </c>
      <c r="Q9" s="78">
        <f aca="true" t="shared" si="0" ref="Q9:U13">EU9</f>
        <v>4</v>
      </c>
      <c r="R9" s="78">
        <f t="shared" si="0"/>
        <v>4</v>
      </c>
      <c r="S9" s="78">
        <f t="shared" si="0"/>
        <v>0</v>
      </c>
      <c r="T9" s="78">
        <f t="shared" si="0"/>
        <v>0</v>
      </c>
      <c r="U9" s="78">
        <f t="shared" si="0"/>
        <v>273</v>
      </c>
      <c r="V9" s="78">
        <f aca="true" t="shared" si="1" ref="V9:X13">EZ9</f>
        <v>32</v>
      </c>
      <c r="W9" s="78">
        <f t="shared" si="1"/>
        <v>2</v>
      </c>
      <c r="X9" s="79">
        <f t="shared" si="1"/>
        <v>18</v>
      </c>
      <c r="Y9" s="4"/>
      <c r="Z9" s="4"/>
      <c r="AG9" s="20" t="s">
        <v>34</v>
      </c>
      <c r="AH9" s="4">
        <f>COUNT(arg)</f>
        <v>4</v>
      </c>
      <c r="AI9" s="4">
        <f>COUNTIF($AA$11:$AA$50,AG9)</f>
        <v>2</v>
      </c>
      <c r="AJ9" s="4">
        <f>AH9-AI9-AK9</f>
        <v>0</v>
      </c>
      <c r="AK9" s="4">
        <f>COUNTIF($AB$11:$AB$50,AG9)</f>
        <v>2</v>
      </c>
      <c r="AL9" s="4">
        <f>SUM(arg)</f>
        <v>140</v>
      </c>
      <c r="AM9" s="4">
        <f>SUM(arg_a)</f>
        <v>57</v>
      </c>
      <c r="AN9" s="4">
        <f>COUNTIF($AC$11:$AE$50,AG9)</f>
        <v>3</v>
      </c>
      <c r="AO9" s="4">
        <f>AI9*win_pts+AJ9*draw_pts+AK9*loss_pts+AN9</f>
        <v>11</v>
      </c>
      <c r="AQ9" s="1" t="str">
        <f>IF(AO9&gt;=AO10,AG9,AG10)</f>
        <v>Australia</v>
      </c>
      <c r="AR9" s="1">
        <f>VLOOKUP(AQ9,$AG$9:$AO$13,9,FALSE)</f>
        <v>18</v>
      </c>
      <c r="AS9"/>
      <c r="AT9" s="1" t="str">
        <f>AQ9</f>
        <v>Australia</v>
      </c>
      <c r="AU9" s="1">
        <f>VLOOKUP(AT9,$AG$9:$AO$13,9,FALSE)</f>
        <v>18</v>
      </c>
      <c r="AW9" s="1" t="str">
        <f>IF(AU9&gt;=AU10,AT9,AT10)</f>
        <v>Australia</v>
      </c>
      <c r="AX9" s="1">
        <f>VLOOKUP(AW9,$AG$9:$AO$13,9,FALSE)</f>
        <v>18</v>
      </c>
      <c r="AZ9" s="1" t="str">
        <f>AW9</f>
        <v>Australia</v>
      </c>
      <c r="BA9" s="1">
        <f>VLOOKUP(AZ9,$AG$9:$AO$13,9,FALSE)</f>
        <v>18</v>
      </c>
      <c r="BC9" s="1" t="str">
        <f>IF(BA9&gt;=BA10,AZ9,AZ10)</f>
        <v>Australia</v>
      </c>
      <c r="BD9" s="1">
        <f>VLOOKUP(BC9,$AG$9:$AO$13,9,FALSE)</f>
        <v>18</v>
      </c>
      <c r="BE9" s="1" t="str">
        <f>TEXT(BC9,"")&amp;" vs "&amp;TEXT(BC10,"")</f>
        <v>Australia vs Ireland</v>
      </c>
      <c r="BF9" s="1" t="str">
        <f>TEXT(BC10,"")&amp;" vs "&amp;TEXT(BC9,"")</f>
        <v>Ireland vs Australia</v>
      </c>
      <c r="BG9" s="4">
        <f>IF(ISERROR(VLOOKUP(BE9,RWC2003!$FW$11:$FX$50,2,FALSE)),VLOOKUP(BF9,RWC2003!$FW$11:$FX$50,2,FALSE),VLOOKUP(BE9,RWC2003!$FW$11:$FX$50,2,FALSE))</f>
        <v>38</v>
      </c>
      <c r="BH9" s="4" t="str">
        <f>VLOOKUP(BG9,$B$11:$AA$50,26)</f>
        <v>Australia</v>
      </c>
      <c r="BJ9" s="1" t="str">
        <f>IF(AND(BD9=BD10,BH9=BC10),BC10,BC9)</f>
        <v>Australia</v>
      </c>
      <c r="BK9" s="1">
        <f>VLOOKUP(BJ9,$AG$9:$AO$13,9,FALSE)</f>
        <v>18</v>
      </c>
      <c r="BN9" s="4"/>
      <c r="BO9" s="4"/>
      <c r="BQ9" s="1" t="str">
        <f>BJ9</f>
        <v>Australia</v>
      </c>
      <c r="BR9" s="1">
        <f>VLOOKUP(BQ9,$AG$9:$AO$13,9,FALSE)</f>
        <v>18</v>
      </c>
      <c r="BS9" s="1" t="str">
        <f>TEXT(BQ9,"")&amp;" vs "&amp;TEXT(BQ10,"")</f>
        <v>Australia vs Ireland</v>
      </c>
      <c r="BT9" s="1" t="str">
        <f>TEXT(BQ10,"")&amp;" vs "&amp;TEXT(BQ9,"")</f>
        <v>Ireland vs Australia</v>
      </c>
      <c r="BU9" s="4">
        <f>IF(ISERROR(VLOOKUP(BS9,RWC2003!$FW$11:$FX$50,2,FALSE)),VLOOKUP(BT9,RWC2003!$FW$11:$FX$50,2,FALSE),VLOOKUP(BS9,RWC2003!$FW$11:$FX$50,2,FALSE))</f>
        <v>38</v>
      </c>
      <c r="BV9" s="4" t="str">
        <f>VLOOKUP(BU9,$B$11:$AA$50,26)</f>
        <v>Australia</v>
      </c>
      <c r="BX9" s="1" t="str">
        <f>IF(AND(BR9=BR10,BV9=BQ10),BQ10,BQ9)</f>
        <v>Australia</v>
      </c>
      <c r="BY9" s="1">
        <f>VLOOKUP(BX9,$AG$9:$AO$13,9,FALSE)</f>
        <v>18</v>
      </c>
      <c r="CB9" s="4"/>
      <c r="CC9" s="4"/>
      <c r="CE9" s="1" t="str">
        <f>BX9</f>
        <v>Australia</v>
      </c>
      <c r="CF9" s="1">
        <f>VLOOKUP(CE9,$AG$9:$AO$13,9,FALSE)</f>
        <v>18</v>
      </c>
      <c r="CG9" s="1" t="str">
        <f>TEXT(CE9,"")&amp;" vs "&amp;TEXT(CE10,"")</f>
        <v>Australia vs Ireland</v>
      </c>
      <c r="CH9" s="1" t="str">
        <f>TEXT(CE10,"")&amp;" vs "&amp;TEXT(CE9,"")</f>
        <v>Ireland vs Australia</v>
      </c>
      <c r="CI9" s="4">
        <f>IF(ISERROR(VLOOKUP(CG9,RWC2003!$FW$11:$FX$50,2,FALSE)),VLOOKUP(CH9,RWC2003!$FW$11:$FX$50,2,FALSE),VLOOKUP(CG9,RWC2003!$FW$11:$FX$50,2,FALSE))</f>
        <v>38</v>
      </c>
      <c r="CJ9" s="4" t="str">
        <f>VLOOKUP(CI9,$B$11:$AA$50,26)</f>
        <v>Australia</v>
      </c>
      <c r="CL9" s="1" t="str">
        <f>IF(AND(CF9=CF10,CJ9=CE10),CE10,CE9)</f>
        <v>Australia</v>
      </c>
      <c r="CM9" s="1">
        <f>VLOOKUP(CL9,$AG$9:$AO$13,9,FALSE)</f>
        <v>18</v>
      </c>
      <c r="CN9" s="1" t="str">
        <f>TEXT(CL9,"")&amp;" vs "&amp;TEXT(CL10,"")</f>
        <v>Australia vs Ireland</v>
      </c>
      <c r="CO9" s="1" t="str">
        <f>TEXT(CL10,"")&amp;" vs "&amp;TEXT(CL9,"")</f>
        <v>Ireland vs Australia</v>
      </c>
      <c r="CP9" s="4">
        <f>IF(ISERROR(VLOOKUP(CN9,RWC2003!$FW$11:$FX$50,2,FALSE)),VLOOKUP(CO9,RWC2003!$FW$11:$FX$50,2,FALSE),VLOOKUP(CN9,RWC2003!$FW$11:$FX$50,2,FALSE))</f>
        <v>38</v>
      </c>
      <c r="CQ9" s="4" t="str">
        <f>VLOOKUP(CP9,$B$11:$AA$50,26)</f>
        <v>Australia</v>
      </c>
      <c r="CR9" s="4">
        <f>VLOOKUP(CL9,$AG$9:$AO$13,6,FALSE)</f>
        <v>273</v>
      </c>
      <c r="CS9" s="4">
        <f>VLOOKUP(CL9,$AG$9:$AO$13,7,FALSE)</f>
        <v>32</v>
      </c>
      <c r="CT9" s="4">
        <f>CR9-CS9</f>
        <v>241</v>
      </c>
      <c r="CV9" s="1" t="str">
        <f>IF(AND(CM9=CM10,OR(CQ9="draw",CQ9="")),IF(CT9&gt;=CT10,CL9,CL10),CL9)</f>
        <v>Australia</v>
      </c>
      <c r="CW9" s="1">
        <f>VLOOKUP(CV9,$AG$9:$AO$13,9,FALSE)</f>
        <v>18</v>
      </c>
      <c r="CX9" s="1" t="str">
        <f>TEXT(CV9,"")&amp;" vs "&amp;TEXT(CV10,"")</f>
        <v>Australia vs Ireland</v>
      </c>
      <c r="CY9" s="1" t="str">
        <f>TEXT(CV10,"")&amp;" vs "&amp;TEXT(CV9,"")</f>
        <v>Ireland vs Australia</v>
      </c>
      <c r="CZ9" s="4">
        <f>IF(ISERROR(VLOOKUP(CX9,RWC2003!$FW$11:$FX$50,2,FALSE)),VLOOKUP(CY9,RWC2003!$FW$11:$FX$50,2,FALSE),VLOOKUP(CX9,RWC2003!$FW$11:$FX$50,2,FALSE))</f>
        <v>38</v>
      </c>
      <c r="DA9" s="4" t="str">
        <f>VLOOKUP(CZ9,$B$11:$AA$50,26)</f>
        <v>Australia</v>
      </c>
      <c r="DB9" s="4">
        <f>VLOOKUP(CV9,$AG$9:$AO$13,6,FALSE)</f>
        <v>273</v>
      </c>
      <c r="DC9" s="4">
        <f>VLOOKUP(CV9,$AG$9:$AO$13,7,FALSE)</f>
        <v>32</v>
      </c>
      <c r="DD9" s="4">
        <f>DB9-DC9</f>
        <v>241</v>
      </c>
      <c r="DF9" s="1" t="str">
        <f>CV9</f>
        <v>Australia</v>
      </c>
      <c r="DG9" s="1">
        <f>VLOOKUP(DF9,$AG$9:$AO$13,9,FALSE)</f>
        <v>18</v>
      </c>
      <c r="DH9" s="1" t="str">
        <f>TEXT(DF9,"")&amp;" vs "&amp;TEXT(DF10,"")</f>
        <v>Australia vs Ireland</v>
      </c>
      <c r="DI9" s="1" t="str">
        <f>TEXT(DF10,"")&amp;" vs "&amp;TEXT(DF9,"")</f>
        <v>Ireland vs Australia</v>
      </c>
      <c r="DJ9" s="4">
        <f>IF(ISERROR(VLOOKUP(DH9,RWC2003!$FW$11:$FX$50,2,FALSE)),VLOOKUP(DI9,RWC2003!$FW$11:$FX$50,2,FALSE),VLOOKUP(DH9,RWC2003!$FW$11:$FX$50,2,FALSE))</f>
        <v>38</v>
      </c>
      <c r="DK9" s="4" t="str">
        <f>VLOOKUP(DJ9,$B$11:$AA$50,26)</f>
        <v>Australia</v>
      </c>
      <c r="DL9" s="4">
        <f>VLOOKUP(DF9,$AG$9:$AO$13,6,FALSE)</f>
        <v>273</v>
      </c>
      <c r="DM9" s="4">
        <f>VLOOKUP(DF9,$AG$9:$AO$13,7,FALSE)</f>
        <v>32</v>
      </c>
      <c r="DN9" s="4">
        <f>DL9-DM9</f>
        <v>241</v>
      </c>
      <c r="DP9" s="1" t="str">
        <f>IF(AND(DG9=DG10,OR(DK9="draw",DK9="")),IF(DN9&gt;=DN10,DF9,DF10),DF9)</f>
        <v>Australia</v>
      </c>
      <c r="DQ9" s="1">
        <f>VLOOKUP(DP9,$AG$9:$AO$13,9,FALSE)</f>
        <v>18</v>
      </c>
      <c r="DR9" s="1" t="str">
        <f>TEXT(DP9,"")&amp;" vs "&amp;TEXT(DP10,"")</f>
        <v>Australia vs Ireland</v>
      </c>
      <c r="DS9" s="1" t="str">
        <f>TEXT(DP10,"")&amp;" vs "&amp;TEXT(DP9,"")</f>
        <v>Ireland vs Australia</v>
      </c>
      <c r="DT9" s="4">
        <f>IF(ISERROR(VLOOKUP(DR9,RWC2003!$FW$11:$FX$50,2,FALSE)),VLOOKUP(DS9,RWC2003!$FW$11:$FX$50,2,FALSE),VLOOKUP(DR9,RWC2003!$FW$11:$FX$50,2,FALSE))</f>
        <v>38</v>
      </c>
      <c r="DU9" s="4" t="str">
        <f>VLOOKUP(DT9,$B$11:$AA$50,26)</f>
        <v>Australia</v>
      </c>
      <c r="DV9" s="4">
        <f>VLOOKUP(DP9,$AG$9:$AO$13,6,FALSE)</f>
        <v>273</v>
      </c>
      <c r="DW9" s="4">
        <f>VLOOKUP(DP9,$AG$9:$AO$13,7,FALSE)</f>
        <v>32</v>
      </c>
      <c r="DX9" s="4">
        <f>DV9-DW9</f>
        <v>241</v>
      </c>
      <c r="DZ9" s="1" t="str">
        <f>DP9</f>
        <v>Australia</v>
      </c>
      <c r="EA9" s="1">
        <f>VLOOKUP(DZ9,$AG$9:$AO$13,9,FALSE)</f>
        <v>18</v>
      </c>
      <c r="EB9" s="1" t="str">
        <f>TEXT(DZ9,"")&amp;" vs "&amp;TEXT(DZ10,"")</f>
        <v>Australia vs Ireland</v>
      </c>
      <c r="EC9" s="1" t="str">
        <f>TEXT(DZ10,"")&amp;" vs "&amp;TEXT(DZ9,"")</f>
        <v>Ireland vs Australia</v>
      </c>
      <c r="ED9" s="4">
        <f>IF(ISERROR(VLOOKUP(EB9,RWC2003!$FW$11:$FX$50,2,FALSE)),VLOOKUP(EC9,RWC2003!$FW$11:$FX$50,2,FALSE),VLOOKUP(EB9,RWC2003!$FW$11:$FX$50,2,FALSE))</f>
        <v>38</v>
      </c>
      <c r="EE9" s="4" t="str">
        <f>VLOOKUP(ED9,$B$11:$AA$50,26)</f>
        <v>Australia</v>
      </c>
      <c r="EF9" s="4">
        <f>VLOOKUP(DZ9,$AG$9:$AO$13,6,FALSE)</f>
        <v>273</v>
      </c>
      <c r="EG9" s="4">
        <f>VLOOKUP(DZ9,$AG$9:$AO$13,7,FALSE)</f>
        <v>32</v>
      </c>
      <c r="EH9" s="4">
        <f>EF9-EG9</f>
        <v>241</v>
      </c>
      <c r="EJ9" s="1" t="str">
        <f>IF(AND(EA9=EA10,OR(EE9="draw",EE9="")),IF(EH9&gt;=EH10,DZ9,DZ10),DZ9)</f>
        <v>Australia</v>
      </c>
      <c r="EK9" s="1">
        <f>VLOOKUP(EJ9,$AG$9:$AO$13,9,FALSE)</f>
        <v>18</v>
      </c>
      <c r="EL9" s="1" t="str">
        <f>TEXT(EJ9,"")&amp;" vs "&amp;TEXT(EJ10,"")</f>
        <v>Australia vs Ireland</v>
      </c>
      <c r="EM9" s="1" t="str">
        <f>TEXT(EJ10,"")&amp;" vs "&amp;TEXT(EJ9,"")</f>
        <v>Ireland vs Australia</v>
      </c>
      <c r="EN9" s="4">
        <f>IF(ISERROR(VLOOKUP(EL9,RWC2003!$FW$11:$FX$50,2,FALSE)),VLOOKUP(EM9,RWC2003!$FW$11:$FX$50,2,FALSE),VLOOKUP(EL9,RWC2003!$FW$11:$FX$50,2,FALSE))</f>
        <v>38</v>
      </c>
      <c r="EO9" s="4" t="str">
        <f>VLOOKUP(EN9,$B$11:$AA$50,26)</f>
        <v>Australia</v>
      </c>
      <c r="EP9" s="4">
        <f>VLOOKUP(EJ9,$AG$9:$AO$13,6,FALSE)</f>
        <v>273</v>
      </c>
      <c r="EQ9" s="4">
        <f>VLOOKUP(EJ9,$AG$9:$AO$13,7,FALSE)</f>
        <v>32</v>
      </c>
      <c r="ER9" s="4">
        <f>EP9-EQ9</f>
        <v>241</v>
      </c>
      <c r="ET9" s="1" t="str">
        <f>EJ9</f>
        <v>Australia</v>
      </c>
      <c r="EU9" s="4">
        <f>VLOOKUP($ET9,$AG$9:$AP$13,2,FALSE)</f>
        <v>4</v>
      </c>
      <c r="EV9" s="4">
        <f>VLOOKUP($ET9,$AG$9:$AP$13,3,FALSE)</f>
        <v>4</v>
      </c>
      <c r="EW9" s="4">
        <f>VLOOKUP($ET9,$AG$9:$AP$13,4,FALSE)</f>
        <v>0</v>
      </c>
      <c r="EX9" s="4">
        <f>VLOOKUP($ET9,$AG$9:$AP$13,5,FALSE)</f>
        <v>0</v>
      </c>
      <c r="EY9" s="4">
        <f>VLOOKUP($ET9,$AG$9:$AP$13,6,FALSE)</f>
        <v>273</v>
      </c>
      <c r="EZ9" s="4">
        <f>VLOOKUP($ET9,$AG$9:$AP$13,7,FALSE)</f>
        <v>32</v>
      </c>
      <c r="FA9" s="4">
        <f>VLOOKUP($ET9,$AG$9:$AP$13,8,FALSE)</f>
        <v>2</v>
      </c>
      <c r="FB9" s="4">
        <f>VLOOKUP($ET9,$AG$9:$AP$13,9,FALSE)</f>
        <v>18</v>
      </c>
      <c r="FE9" s="68" t="s">
        <v>67</v>
      </c>
      <c r="FF9" s="67"/>
      <c r="FG9" s="67"/>
      <c r="FH9" s="67"/>
      <c r="FI9" s="67"/>
      <c r="FJ9" s="67"/>
      <c r="FK9" s="67"/>
      <c r="FL9" s="67"/>
      <c r="FM9" s="67"/>
      <c r="FN9" s="67"/>
      <c r="FO9" s="67"/>
      <c r="FP9" s="67"/>
    </row>
    <row r="10" spans="3:172" ht="13.5" customHeight="1" thickBot="1">
      <c r="C10" s="67"/>
      <c r="P10" s="77" t="str">
        <f>ET10</f>
        <v>Ireland</v>
      </c>
      <c r="Q10" s="78">
        <f t="shared" si="0"/>
        <v>4</v>
      </c>
      <c r="R10" s="78">
        <f t="shared" si="0"/>
        <v>3</v>
      </c>
      <c r="S10" s="78">
        <f t="shared" si="0"/>
        <v>0</v>
      </c>
      <c r="T10" s="78">
        <f t="shared" si="0"/>
        <v>1</v>
      </c>
      <c r="U10" s="78">
        <f t="shared" si="0"/>
        <v>141</v>
      </c>
      <c r="V10" s="78">
        <f t="shared" si="1"/>
        <v>56</v>
      </c>
      <c r="W10" s="78">
        <f t="shared" si="1"/>
        <v>3</v>
      </c>
      <c r="X10" s="79">
        <f t="shared" si="1"/>
        <v>15</v>
      </c>
      <c r="Y10" s="4"/>
      <c r="Z10" s="4"/>
      <c r="AG10" s="20" t="s">
        <v>24</v>
      </c>
      <c r="AH10" s="4">
        <f>COUNT(aus)</f>
        <v>4</v>
      </c>
      <c r="AI10" s="4">
        <f>COUNTIF($AA$11:$AA$50,AG10)</f>
        <v>4</v>
      </c>
      <c r="AJ10" s="4">
        <f>AH10-AI10-AK10</f>
        <v>0</v>
      </c>
      <c r="AK10" s="4">
        <f>COUNTIF($AB$11:$AB$50,AG10)</f>
        <v>0</v>
      </c>
      <c r="AL10" s="4">
        <f>SUM(aus)</f>
        <v>273</v>
      </c>
      <c r="AM10" s="4">
        <f>SUM(aus_a)</f>
        <v>32</v>
      </c>
      <c r="AN10" s="4">
        <f>COUNTIF($AC$11:$AE$50,AG10)</f>
        <v>2</v>
      </c>
      <c r="AO10" s="4">
        <f>AI10*win_pts+AJ10*draw_pts+AK10*loss_pts+AN10</f>
        <v>18</v>
      </c>
      <c r="AQ10" s="1" t="str">
        <f>IF(AO10&lt;=AO9,AG10,AG9)</f>
        <v>Argentina</v>
      </c>
      <c r="AR10" s="1">
        <f>VLOOKUP(AQ10,$AG$9:$AO$13,9,FALSE)</f>
        <v>11</v>
      </c>
      <c r="AS10"/>
      <c r="AT10" s="1" t="str">
        <f>IF(AR10&gt;=AR11,AQ10,AQ11)</f>
        <v>Ireland</v>
      </c>
      <c r="AU10" s="1">
        <f>VLOOKUP(AT10,$AG$9:$AO$13,9,FALSE)</f>
        <v>15</v>
      </c>
      <c r="AW10" s="1" t="str">
        <f>IF(AU10&lt;=AU9,AT10,AT9)</f>
        <v>Ireland</v>
      </c>
      <c r="AX10" s="1">
        <f>VLOOKUP(AW10,$AG$9:$AO$13,9,FALSE)</f>
        <v>15</v>
      </c>
      <c r="AZ10" s="1" t="str">
        <f>IF(AX10&gt;=AX11,AW10,AW11)</f>
        <v>Ireland</v>
      </c>
      <c r="BA10" s="1">
        <f>VLOOKUP(AZ10,$AG$9:$AO$13,9,FALSE)</f>
        <v>15</v>
      </c>
      <c r="BC10" s="1" t="str">
        <f>IF(BA10&lt;=BA9,AZ10,AZ9)</f>
        <v>Ireland</v>
      </c>
      <c r="BD10" s="1">
        <f>VLOOKUP(BC10,$AG$9:$AO$13,9,FALSE)</f>
        <v>15</v>
      </c>
      <c r="BG10" s="4"/>
      <c r="BH10" s="4"/>
      <c r="BJ10" s="1" t="str">
        <f>IF(AND(BD9=BD10,BH9=BC10),BC9,BC10)</f>
        <v>Ireland</v>
      </c>
      <c r="BK10" s="1">
        <f>VLOOKUP(BJ10,$AG$9:$AO$13,9,FALSE)</f>
        <v>15</v>
      </c>
      <c r="BL10" s="1" t="str">
        <f>TEXT(BJ10,"")&amp;" vs "&amp;TEXT(BJ11,"")</f>
        <v>Ireland vs Argentina</v>
      </c>
      <c r="BM10" s="1" t="str">
        <f>TEXT(BJ11,"")&amp;" vs "&amp;TEXT(BJ10,"")</f>
        <v>Argentina vs Ireland</v>
      </c>
      <c r="BN10" s="4">
        <f>IF(ISERROR(VLOOKUP(BL10,RWC2003!$FW$11:$FX$50,2,FALSE)),VLOOKUP(BM10,RWC2003!$FW$11:$FX$50,2,FALSE),VLOOKUP(BL10,RWC2003!$FW$11:$FX$50,2,FALSE))</f>
        <v>29</v>
      </c>
      <c r="BO10" s="4" t="str">
        <f>VLOOKUP(BN10,$B$11:$AA$50,26)</f>
        <v>Ireland</v>
      </c>
      <c r="BQ10" s="1" t="str">
        <f>IF(AND(BK10=BK11,BO10=BJ11),BJ11,BJ10)</f>
        <v>Ireland</v>
      </c>
      <c r="BR10" s="1">
        <f>VLOOKUP(BQ10,$AG$9:$AO$13,9,FALSE)</f>
        <v>15</v>
      </c>
      <c r="BU10" s="4"/>
      <c r="BV10" s="4"/>
      <c r="BX10" s="1" t="str">
        <f>IF(AND(BR9=BR10,BV9=BQ10),BQ9,BQ10)</f>
        <v>Ireland</v>
      </c>
      <c r="BY10" s="1">
        <f>VLOOKUP(BX10,$AG$9:$AO$13,9,FALSE)</f>
        <v>15</v>
      </c>
      <c r="BZ10" s="1" t="str">
        <f>TEXT(BX10,"")&amp;" vs "&amp;TEXT(BX11,"")</f>
        <v>Ireland vs Argentina</v>
      </c>
      <c r="CA10" s="1" t="str">
        <f>TEXT(BX11,"")&amp;" vs "&amp;TEXT(BX10,"")</f>
        <v>Argentina vs Ireland</v>
      </c>
      <c r="CB10" s="4">
        <f>IF(ISERROR(VLOOKUP(BZ10,RWC2003!$FW$11:$FX$50,2,FALSE)),VLOOKUP(CA10,RWC2003!$FW$11:$FX$50,2,FALSE),VLOOKUP(BZ10,RWC2003!$FW$11:$FX$50,2,FALSE))</f>
        <v>29</v>
      </c>
      <c r="CC10" s="4" t="str">
        <f>VLOOKUP(CB10,$B$11:$AA$50,26)</f>
        <v>Ireland</v>
      </c>
      <c r="CE10" s="1" t="str">
        <f>IF(AND(BY10=BY11,CC10=BX11),BX11,BX10)</f>
        <v>Ireland</v>
      </c>
      <c r="CF10" s="1">
        <f>VLOOKUP(CE10,$AG$9:$AO$13,9,FALSE)</f>
        <v>15</v>
      </c>
      <c r="CI10" s="4"/>
      <c r="CJ10" s="4"/>
      <c r="CL10" s="1" t="str">
        <f>IF(AND(CF9=CF10,CJ9=CE10),CE9,CE10)</f>
        <v>Ireland</v>
      </c>
      <c r="CM10" s="1">
        <f>VLOOKUP(CL10,$AG$9:$AO$13,9,FALSE)</f>
        <v>15</v>
      </c>
      <c r="CN10" s="1" t="str">
        <f>TEXT(CL10,"")&amp;" vs "&amp;TEXT(CL11,"")</f>
        <v>Ireland vs Argentina</v>
      </c>
      <c r="CO10" s="1" t="str">
        <f>TEXT(CL11,"")&amp;" vs "&amp;TEXT(CL10,"")</f>
        <v>Argentina vs Ireland</v>
      </c>
      <c r="CP10" s="4">
        <f>IF(ISERROR(VLOOKUP(CN10,RWC2003!$FW$11:$FX$50,2,FALSE)),VLOOKUP(CO10,RWC2003!$FW$11:$FX$50,2,FALSE),VLOOKUP(CN10,RWC2003!$FW$11:$FX$50,2,FALSE))</f>
        <v>29</v>
      </c>
      <c r="CQ10" s="4" t="str">
        <f>VLOOKUP(CP10,$B$11:$AA$50,26)</f>
        <v>Ireland</v>
      </c>
      <c r="CR10" s="4">
        <f>VLOOKUP(CL10,$AG$9:$AO$13,6,FALSE)</f>
        <v>141</v>
      </c>
      <c r="CS10" s="4">
        <f>VLOOKUP(CL10,$AG$9:$AO$13,7,FALSE)</f>
        <v>56</v>
      </c>
      <c r="CT10" s="4">
        <f>CR10-CS10</f>
        <v>85</v>
      </c>
      <c r="CV10" s="1" t="str">
        <f>IF(AND(CM9=CM10,OR(CQ9="draw",CQ9="")),IF(CT9&gt;=CT10,CL10,CL9),CL10)</f>
        <v>Ireland</v>
      </c>
      <c r="CW10" s="1">
        <f>VLOOKUP(CV10,$AG$9:$AO$13,9,FALSE)</f>
        <v>15</v>
      </c>
      <c r="CX10" s="1" t="str">
        <f>TEXT(CV10,"")&amp;" vs "&amp;TEXT(CV11,"")</f>
        <v>Ireland vs Argentina</v>
      </c>
      <c r="CY10" s="1" t="str">
        <f>TEXT(CV11,"")&amp;" vs "&amp;TEXT(CV10,"")</f>
        <v>Argentina vs Ireland</v>
      </c>
      <c r="CZ10" s="4">
        <f>IF(ISERROR(VLOOKUP(CX10,RWC2003!$FW$11:$FX$50,2,FALSE)),VLOOKUP(CY10,RWC2003!$FW$11:$FX$50,2,FALSE),VLOOKUP(CX10,RWC2003!$FW$11:$FX$50,2,FALSE))</f>
        <v>29</v>
      </c>
      <c r="DA10" s="4" t="str">
        <f>VLOOKUP(CZ10,$B$11:$AA$50,26)</f>
        <v>Ireland</v>
      </c>
      <c r="DB10" s="4">
        <f>VLOOKUP(CV10,$AG$9:$AO$13,6,FALSE)</f>
        <v>141</v>
      </c>
      <c r="DC10" s="4">
        <f>VLOOKUP(CV10,$AG$9:$AO$13,7,FALSE)</f>
        <v>56</v>
      </c>
      <c r="DD10" s="4">
        <f>DB10-DC10</f>
        <v>85</v>
      </c>
      <c r="DF10" s="1" t="str">
        <f>IF(AND(CW10=CW11,OR(DA10="draw",DA10="")),IF(DD10&gt;=DD11,CV10,CV11),CV10)</f>
        <v>Ireland</v>
      </c>
      <c r="DG10" s="1">
        <f>VLOOKUP(DF10,$AG$9:$AO$13,9,FALSE)</f>
        <v>15</v>
      </c>
      <c r="DH10" s="1" t="str">
        <f>TEXT(DF10,"")&amp;" vs "&amp;TEXT(DF11,"")</f>
        <v>Ireland vs Argentina</v>
      </c>
      <c r="DI10" s="1" t="str">
        <f>TEXT(DF11,"")&amp;" vs "&amp;TEXT(DF10,"")</f>
        <v>Argentina vs Ireland</v>
      </c>
      <c r="DJ10" s="4">
        <f>IF(ISERROR(VLOOKUP(DH10,RWC2003!$FW$11:$FX$50,2,FALSE)),VLOOKUP(DI10,RWC2003!$FW$11:$FX$50,2,FALSE),VLOOKUP(DH10,RWC2003!$FW$11:$FX$50,2,FALSE))</f>
        <v>29</v>
      </c>
      <c r="DK10" s="4" t="str">
        <f>VLOOKUP(DJ10,$B$11:$AA$50,26)</f>
        <v>Ireland</v>
      </c>
      <c r="DL10" s="4">
        <f>VLOOKUP(DF10,$AG$9:$AO$13,6,FALSE)</f>
        <v>141</v>
      </c>
      <c r="DM10" s="4">
        <f>VLOOKUP(DF10,$AG$9:$AO$13,7,FALSE)</f>
        <v>56</v>
      </c>
      <c r="DN10" s="4">
        <f>DL10-DM10</f>
        <v>85</v>
      </c>
      <c r="DP10" s="1" t="str">
        <f>IF(AND(DG9=DG10,OR(DK9="draw",DK9="")),IF(DN9&gt;=DN10,DF10,DF9),DF10)</f>
        <v>Ireland</v>
      </c>
      <c r="DQ10" s="1">
        <f>VLOOKUP(DP10,$AG$9:$AO$13,9,FALSE)</f>
        <v>15</v>
      </c>
      <c r="DR10" s="1" t="str">
        <f>TEXT(DP10,"")&amp;" vs "&amp;TEXT(DP11,"")</f>
        <v>Ireland vs Argentina</v>
      </c>
      <c r="DS10" s="1" t="str">
        <f>TEXT(DP11,"")&amp;" vs "&amp;TEXT(DP10,"")</f>
        <v>Argentina vs Ireland</v>
      </c>
      <c r="DT10" s="4">
        <f>IF(ISERROR(VLOOKUP(DR10,RWC2003!$FW$11:$FX$50,2,FALSE)),VLOOKUP(DS10,RWC2003!$FW$11:$FX$50,2,FALSE),VLOOKUP(DR10,RWC2003!$FW$11:$FX$50,2,FALSE))</f>
        <v>29</v>
      </c>
      <c r="DU10" s="4" t="str">
        <f>VLOOKUP(DT10,$B$11:$AA$50,26)</f>
        <v>Ireland</v>
      </c>
      <c r="DV10" s="4">
        <f>VLOOKUP(DP10,$AG$9:$AO$13,6,FALSE)</f>
        <v>141</v>
      </c>
      <c r="DW10" s="4">
        <f>VLOOKUP(DP10,$AG$9:$AO$13,7,FALSE)</f>
        <v>56</v>
      </c>
      <c r="DX10" s="4">
        <f>DV10-DW10</f>
        <v>85</v>
      </c>
      <c r="DZ10" s="1" t="str">
        <f>IF(AND(DQ10=DQ11,OR(DU10="draw",DU10="")),IF(DX10&gt;=DX11,DP10,DP11),DP10)</f>
        <v>Ireland</v>
      </c>
      <c r="EA10" s="1">
        <f>VLOOKUP(DZ10,$AG$9:$AO$13,9,FALSE)</f>
        <v>15</v>
      </c>
      <c r="EB10" s="1" t="str">
        <f>TEXT(DZ10,"")&amp;" vs "&amp;TEXT(DZ11,"")</f>
        <v>Ireland vs Argentina</v>
      </c>
      <c r="EC10" s="1" t="str">
        <f>TEXT(DZ11,"")&amp;" vs "&amp;TEXT(DZ10,"")</f>
        <v>Argentina vs Ireland</v>
      </c>
      <c r="ED10" s="4">
        <f>IF(ISERROR(VLOOKUP(EB10,RWC2003!$FW$11:$FX$50,2,FALSE)),VLOOKUP(EC10,RWC2003!$FW$11:$FX$50,2,FALSE),VLOOKUP(EB10,RWC2003!$FW$11:$FX$50,2,FALSE))</f>
        <v>29</v>
      </c>
      <c r="EE10" s="4" t="str">
        <f>VLOOKUP(ED10,$B$11:$AA$50,26)</f>
        <v>Ireland</v>
      </c>
      <c r="EF10" s="4">
        <f>VLOOKUP(DZ10,$AG$9:$AO$13,6,FALSE)</f>
        <v>141</v>
      </c>
      <c r="EG10" s="4">
        <f>VLOOKUP(DZ10,$AG$9:$AO$13,7,FALSE)</f>
        <v>56</v>
      </c>
      <c r="EH10" s="4">
        <f>EF10-EG10</f>
        <v>85</v>
      </c>
      <c r="EJ10" s="1" t="str">
        <f>IF(AND(EA9=EA10,OR(EE9="draw",EE9="")),IF(EH9&gt;=EH10,DZ10,DZ9),DZ10)</f>
        <v>Ireland</v>
      </c>
      <c r="EK10" s="1">
        <f>VLOOKUP(EJ10,$AG$9:$AO$13,9,FALSE)</f>
        <v>15</v>
      </c>
      <c r="EL10" s="1" t="str">
        <f>TEXT(EJ10,"")&amp;" vs "&amp;TEXT(EJ11,"")</f>
        <v>Ireland vs Argentina</v>
      </c>
      <c r="EM10" s="1" t="str">
        <f>TEXT(EJ11,"")&amp;" vs "&amp;TEXT(EJ10,"")</f>
        <v>Argentina vs Ireland</v>
      </c>
      <c r="EN10" s="4">
        <f>IF(ISERROR(VLOOKUP(EL10,RWC2003!$FW$11:$FX$50,2,FALSE)),VLOOKUP(EM10,RWC2003!$FW$11:$FX$50,2,FALSE),VLOOKUP(EL10,RWC2003!$FW$11:$FX$50,2,FALSE))</f>
        <v>29</v>
      </c>
      <c r="EO10" s="4" t="str">
        <f>VLOOKUP(EN10,$B$11:$AA$50,26)</f>
        <v>Ireland</v>
      </c>
      <c r="EP10" s="4">
        <f>VLOOKUP(EJ10,$AG$9:$AO$13,6,FALSE)</f>
        <v>141</v>
      </c>
      <c r="EQ10" s="4">
        <f>VLOOKUP(EJ10,$AG$9:$AO$13,7,FALSE)</f>
        <v>56</v>
      </c>
      <c r="ER10" s="4">
        <f>EP10-EQ10</f>
        <v>85</v>
      </c>
      <c r="ET10" s="1" t="str">
        <f>EJ10</f>
        <v>Ireland</v>
      </c>
      <c r="EU10" s="4">
        <f>VLOOKUP($ET10,$AG$9:$AP$13,2,FALSE)</f>
        <v>4</v>
      </c>
      <c r="EV10" s="4">
        <f>VLOOKUP($ET10,$AG$9:$AP$13,3,FALSE)</f>
        <v>3</v>
      </c>
      <c r="EW10" s="4">
        <f>VLOOKUP($ET10,$AG$9:$AP$13,4,FALSE)</f>
        <v>0</v>
      </c>
      <c r="EX10" s="4">
        <f>VLOOKUP($ET10,$AG$9:$AP$13,5,FALSE)</f>
        <v>1</v>
      </c>
      <c r="EY10" s="4">
        <f>VLOOKUP($ET10,$AG$9:$AP$13,6,FALSE)</f>
        <v>141</v>
      </c>
      <c r="EZ10" s="4">
        <f>VLOOKUP($ET10,$AG$9:$AP$13,7,FALSE)</f>
        <v>56</v>
      </c>
      <c r="FA10" s="4">
        <f>VLOOKUP($ET10,$AG$9:$AP$13,8,FALSE)</f>
        <v>3</v>
      </c>
      <c r="FB10" s="4">
        <f>VLOOKUP($ET10,$AG$9:$AP$13,9,FALSE)</f>
        <v>15</v>
      </c>
      <c r="FE10" s="87" t="str">
        <f>CHOOSE($FG$8,FG10,FH10,FI10,FJ10,FK10,FL10,FM10,FN10,FO10)</f>
        <v>USA ET</v>
      </c>
      <c r="FF10" s="67"/>
      <c r="FG10" s="70" t="s">
        <v>50</v>
      </c>
      <c r="FH10" s="70" t="s">
        <v>33</v>
      </c>
      <c r="FI10" s="70" t="s">
        <v>28</v>
      </c>
      <c r="FJ10" s="70" t="s">
        <v>11</v>
      </c>
      <c r="FK10" s="70" t="s">
        <v>9</v>
      </c>
      <c r="FL10" s="70" t="s">
        <v>87</v>
      </c>
      <c r="FM10" s="70" t="s">
        <v>64</v>
      </c>
      <c r="FN10" s="70" t="s">
        <v>63</v>
      </c>
      <c r="FO10" s="70" t="s">
        <v>86</v>
      </c>
      <c r="FP10" s="67"/>
    </row>
    <row r="11" spans="2:180" ht="13.5" customHeight="1" thickBot="1">
      <c r="B11" s="1">
        <v>1</v>
      </c>
      <c r="C11" s="88">
        <f>FE11</f>
        <v>37904.25</v>
      </c>
      <c r="D11" s="46" t="s">
        <v>24</v>
      </c>
      <c r="E11" s="46"/>
      <c r="F11" s="66">
        <v>2</v>
      </c>
      <c r="G11" s="74">
        <v>24</v>
      </c>
      <c r="H11" s="74">
        <v>8</v>
      </c>
      <c r="I11" s="47">
        <v>1</v>
      </c>
      <c r="J11" s="48"/>
      <c r="K11" s="49" t="s">
        <v>34</v>
      </c>
      <c r="L11" s="50" t="s">
        <v>10</v>
      </c>
      <c r="M11" s="51" t="s">
        <v>33</v>
      </c>
      <c r="N11" s="1" t="s">
        <v>38</v>
      </c>
      <c r="P11" s="77" t="str">
        <f>ET11</f>
        <v>Argentina</v>
      </c>
      <c r="Q11" s="78">
        <f t="shared" si="0"/>
        <v>4</v>
      </c>
      <c r="R11" s="78">
        <f t="shared" si="0"/>
        <v>2</v>
      </c>
      <c r="S11" s="78">
        <f t="shared" si="0"/>
        <v>0</v>
      </c>
      <c r="T11" s="78">
        <f t="shared" si="0"/>
        <v>2</v>
      </c>
      <c r="U11" s="78">
        <f t="shared" si="0"/>
        <v>140</v>
      </c>
      <c r="V11" s="78">
        <f t="shared" si="1"/>
        <v>57</v>
      </c>
      <c r="W11" s="78">
        <f t="shared" si="1"/>
        <v>3</v>
      </c>
      <c r="X11" s="79">
        <f t="shared" si="1"/>
        <v>11</v>
      </c>
      <c r="Y11" s="4"/>
      <c r="Z11" s="4"/>
      <c r="AA11" s="1" t="str">
        <f>IF(G11="","",IF(G11&gt;H11,D11,IF(G11&lt;H11,K11,"Draw")))</f>
        <v>Australia</v>
      </c>
      <c r="AB11" s="1" t="str">
        <f>IF(G11="","",IF(G11&lt;H11,D11,IF(G11&gt;H11,K11,"Draw")))</f>
        <v>Argentina</v>
      </c>
      <c r="AC11" s="1">
        <f>IF(OR(MAX(G11:H11)-MIN(G11:H11)&lt;8,H11=G11),AB11,"")</f>
      </c>
      <c r="AD11" s="1">
        <f>IF(F11&gt;=4,D11,"")</f>
      </c>
      <c r="AE11" s="1">
        <f>IF(I11&gt;=4,K11,"")</f>
      </c>
      <c r="AG11" s="20" t="s">
        <v>75</v>
      </c>
      <c r="AH11" s="4">
        <f>COUNT(ire)</f>
        <v>4</v>
      </c>
      <c r="AI11" s="4">
        <f>COUNTIF($AA$11:$AA$50,AG11)</f>
        <v>3</v>
      </c>
      <c r="AJ11" s="4">
        <f>AH11-AI11-AK11</f>
        <v>0</v>
      </c>
      <c r="AK11" s="4">
        <f>COUNTIF($AB$11:$AB$50,AG11)</f>
        <v>1</v>
      </c>
      <c r="AL11" s="4">
        <f>SUM(ire)</f>
        <v>141</v>
      </c>
      <c r="AM11" s="4">
        <f>SUM(ire_a)</f>
        <v>56</v>
      </c>
      <c r="AN11" s="4">
        <f>COUNTIF($AC$11:$AE$50,AG11)</f>
        <v>3</v>
      </c>
      <c r="AO11" s="4">
        <f>AI11*win_pts+AJ11*draw_pts+AK11*loss_pts+AN11</f>
        <v>15</v>
      </c>
      <c r="AQ11" s="1" t="str">
        <f>IF(AO11&gt;=AO12,AG11,AG12)</f>
        <v>Ireland</v>
      </c>
      <c r="AR11" s="1">
        <f>VLOOKUP(AQ11,$AG$9:$AO$13,9,FALSE)</f>
        <v>15</v>
      </c>
      <c r="AS11"/>
      <c r="AT11" s="1" t="str">
        <f>IF(AR11&lt;=AR10,AQ11,AQ10)</f>
        <v>Argentina</v>
      </c>
      <c r="AU11" s="1">
        <f>VLOOKUP(AT11,$AG$9:$AO$13,9,FALSE)</f>
        <v>11</v>
      </c>
      <c r="AW11" s="1" t="str">
        <f>IF(AU11&gt;=AU12,AT11,AT12)</f>
        <v>Argentina</v>
      </c>
      <c r="AX11" s="1">
        <f>VLOOKUP(AW11,$AG$9:$AO$13,9,FALSE)</f>
        <v>11</v>
      </c>
      <c r="AZ11" s="1" t="str">
        <f>IF(AX11&lt;=AX10,AW11,AW10)</f>
        <v>Argentina</v>
      </c>
      <c r="BA11" s="1">
        <f>VLOOKUP(AZ11,$AG$9:$AO$13,9,FALSE)</f>
        <v>11</v>
      </c>
      <c r="BC11" s="1" t="str">
        <f>IF(BA11&gt;=BA12,AZ11,AZ12)</f>
        <v>Argentina</v>
      </c>
      <c r="BD11" s="1">
        <f>VLOOKUP(BC11,$AG$9:$AO$13,9,FALSE)</f>
        <v>11</v>
      </c>
      <c r="BE11" s="1" t="str">
        <f>TEXT(BC11,"")&amp;" vs "&amp;TEXT(BC12,"")</f>
        <v>Argentina vs Romania</v>
      </c>
      <c r="BF11" s="1" t="str">
        <f>TEXT(BC12,"")&amp;" vs "&amp;TEXT(BC11,"")</f>
        <v>Romania vs Argentina</v>
      </c>
      <c r="BG11" s="4">
        <f>IF(ISERROR(VLOOKUP(BE11,RWC2003!$FW$11:$FX$50,2,FALSE)),VLOOKUP(BF11,RWC2003!$FW$11:$FX$50,2,FALSE),VLOOKUP(BE11,RWC2003!$FW$11:$FX$50,2,FALSE))</f>
        <v>22</v>
      </c>
      <c r="BH11" s="4" t="str">
        <f>VLOOKUP(BG11,$B$11:$AA$50,26)</f>
        <v>Argentina</v>
      </c>
      <c r="BJ11" s="1" t="str">
        <f>IF(AND(BD11=BD12,BH11=BC12),BC12,BC11)</f>
        <v>Argentina</v>
      </c>
      <c r="BK11" s="1">
        <f>VLOOKUP(BJ11,$AG$9:$AO$13,9,FALSE)</f>
        <v>11</v>
      </c>
      <c r="BN11" s="4"/>
      <c r="BO11" s="4"/>
      <c r="BQ11" s="1" t="str">
        <f>IF(AND(BK10=BK11,BO10=BJ11),BJ10,BJ11)</f>
        <v>Argentina</v>
      </c>
      <c r="BR11" s="1">
        <f>VLOOKUP(BQ11,$AG$9:$AO$13,9,FALSE)</f>
        <v>11</v>
      </c>
      <c r="BS11" s="1" t="str">
        <f>TEXT(BQ11,"")&amp;" vs "&amp;TEXT(BQ12,"")</f>
        <v>Argentina vs Romania</v>
      </c>
      <c r="BT11" s="1" t="str">
        <f>TEXT(BQ12,"")&amp;" vs "&amp;TEXT(BQ11,"")</f>
        <v>Romania vs Argentina</v>
      </c>
      <c r="BU11" s="4">
        <f>IF(ISERROR(VLOOKUP(BS11,RWC2003!$FW$11:$FX$50,2,FALSE)),VLOOKUP(BT11,RWC2003!$FW$11:$FX$50,2,FALSE),VLOOKUP(BS11,RWC2003!$FW$11:$FX$50,2,FALSE))</f>
        <v>22</v>
      </c>
      <c r="BV11" s="4" t="str">
        <f>VLOOKUP(BU11,$B$11:$AA$50,26)</f>
        <v>Argentina</v>
      </c>
      <c r="BX11" s="1" t="str">
        <f>IF(AND(BR11=BR12,BV11=BQ12),BQ12,BQ11)</f>
        <v>Argentina</v>
      </c>
      <c r="BY11" s="1">
        <f>VLOOKUP(BX11,$AG$9:$AO$13,9,FALSE)</f>
        <v>11</v>
      </c>
      <c r="CB11" s="4"/>
      <c r="CC11" s="4"/>
      <c r="CE11" s="1" t="str">
        <f>IF(AND(BY10=BY11,CC10=BX11),BX10,BX11)</f>
        <v>Argentina</v>
      </c>
      <c r="CF11" s="1">
        <f>VLOOKUP(CE11,$AG$9:$AO$13,9,FALSE)</f>
        <v>11</v>
      </c>
      <c r="CG11" s="1" t="str">
        <f>TEXT(CE11,"")&amp;" vs "&amp;TEXT(CE12,"")</f>
        <v>Argentina vs Romania</v>
      </c>
      <c r="CH11" s="1" t="str">
        <f>TEXT(CE12,"")&amp;" vs "&amp;TEXT(CE11,"")</f>
        <v>Romania vs Argentina</v>
      </c>
      <c r="CI11" s="4">
        <f>IF(ISERROR(VLOOKUP(CG11,RWC2003!$FW$11:$FX$50,2,FALSE)),VLOOKUP(CH11,RWC2003!$FW$11:$FX$50,2,FALSE),VLOOKUP(CG11,RWC2003!$FW$11:$FX$50,2,FALSE))</f>
        <v>22</v>
      </c>
      <c r="CJ11" s="4" t="str">
        <f>VLOOKUP(CI11,$B$11:$AA$50,26)</f>
        <v>Argentina</v>
      </c>
      <c r="CL11" s="1" t="str">
        <f>IF(AND(CF11=CF12,CJ11=CE12),CE12,CE11)</f>
        <v>Argentina</v>
      </c>
      <c r="CM11" s="1">
        <f>VLOOKUP(CL11,$AG$9:$AO$13,9,FALSE)</f>
        <v>11</v>
      </c>
      <c r="CN11" s="1" t="str">
        <f>TEXT(CL11,"")&amp;" vs "&amp;TEXT(CL12,"")</f>
        <v>Argentina vs Romania</v>
      </c>
      <c r="CO11" s="1" t="str">
        <f>TEXT(CL12,"")&amp;" vs "&amp;TEXT(CL11,"")</f>
        <v>Romania vs Argentina</v>
      </c>
      <c r="CP11" s="4">
        <f>IF(ISERROR(VLOOKUP(CN11,RWC2003!$FW$11:$FX$50,2,FALSE)),VLOOKUP(CO11,RWC2003!$FW$11:$FX$50,2,FALSE),VLOOKUP(CN11,RWC2003!$FW$11:$FX$50,2,FALSE))</f>
        <v>22</v>
      </c>
      <c r="CQ11" s="4" t="str">
        <f>VLOOKUP(CP11,$B$11:$AA$50,26)</f>
        <v>Argentina</v>
      </c>
      <c r="CR11" s="4">
        <f>VLOOKUP(CL11,$AG$9:$AO$13,6,FALSE)</f>
        <v>140</v>
      </c>
      <c r="CS11" s="4">
        <f>VLOOKUP(CL11,$AG$9:$AO$13,7,FALSE)</f>
        <v>57</v>
      </c>
      <c r="CT11" s="4">
        <f>CR11-CS11</f>
        <v>83</v>
      </c>
      <c r="CV11" s="1" t="str">
        <f>IF(AND(CM11=CM12,OR(CQ11="draw",CQ11="")),IF(CT11&gt;=CT12,CL11,CL12),CL11)</f>
        <v>Argentina</v>
      </c>
      <c r="CW11" s="1">
        <f>VLOOKUP(CV11,$AG$9:$AO$13,9,FALSE)</f>
        <v>11</v>
      </c>
      <c r="CX11" s="1" t="str">
        <f>TEXT(CV11,"")&amp;" vs "&amp;TEXT(CV12,"")</f>
        <v>Argentina vs Romania</v>
      </c>
      <c r="CY11" s="1" t="str">
        <f>TEXT(CV12,"")&amp;" vs "&amp;TEXT(CV11,"")</f>
        <v>Romania vs Argentina</v>
      </c>
      <c r="CZ11" s="4">
        <f>IF(ISERROR(VLOOKUP(CX11,RWC2003!$FW$11:$FX$50,2,FALSE)),VLOOKUP(CY11,RWC2003!$FW$11:$FX$50,2,FALSE),VLOOKUP(CX11,RWC2003!$FW$11:$FX$50,2,FALSE))</f>
        <v>22</v>
      </c>
      <c r="DA11" s="4" t="str">
        <f>VLOOKUP(CZ11,$B$11:$AA$50,26)</f>
        <v>Argentina</v>
      </c>
      <c r="DB11" s="4">
        <f>VLOOKUP(CV11,$AG$9:$AO$13,6,FALSE)</f>
        <v>140</v>
      </c>
      <c r="DC11" s="4">
        <f>VLOOKUP(CV11,$AG$9:$AO$13,7,FALSE)</f>
        <v>57</v>
      </c>
      <c r="DD11" s="4">
        <f>DB11-DC11</f>
        <v>83</v>
      </c>
      <c r="DF11" s="1" t="str">
        <f>IF(AND(CW10=CW11,OR(DA10="draw",DA10="")),IF(DD10&gt;=DD11,CV11,CV10),CV11)</f>
        <v>Argentina</v>
      </c>
      <c r="DG11" s="1">
        <f>VLOOKUP(DF11,$AG$9:$AO$13,9,FALSE)</f>
        <v>11</v>
      </c>
      <c r="DH11" s="1" t="str">
        <f>TEXT(DF11,"")&amp;" vs "&amp;TEXT(DF12,"")</f>
        <v>Argentina vs Romania</v>
      </c>
      <c r="DI11" s="1" t="str">
        <f>TEXT(DF12,"")&amp;" vs "&amp;TEXT(DF11,"")</f>
        <v>Romania vs Argentina</v>
      </c>
      <c r="DJ11" s="4">
        <f>IF(ISERROR(VLOOKUP(DH11,RWC2003!$FW$11:$FX$50,2,FALSE)),VLOOKUP(DI11,RWC2003!$FW$11:$FX$50,2,FALSE),VLOOKUP(DH11,RWC2003!$FW$11:$FX$50,2,FALSE))</f>
        <v>22</v>
      </c>
      <c r="DK11" s="4" t="str">
        <f>VLOOKUP(DJ11,$B$11:$AA$50,26)</f>
        <v>Argentina</v>
      </c>
      <c r="DL11" s="4">
        <f>VLOOKUP(DF11,$AG$9:$AO$13,6,FALSE)</f>
        <v>140</v>
      </c>
      <c r="DM11" s="4">
        <f>VLOOKUP(DF11,$AG$9:$AO$13,7,FALSE)</f>
        <v>57</v>
      </c>
      <c r="DN11" s="4">
        <f>DL11-DM11</f>
        <v>83</v>
      </c>
      <c r="DP11" s="1" t="str">
        <f>IF(AND(DG11=DG12,OR(DK11="draw",DK11="")),IF(DN11&gt;=DN12,DF11,DF12),DF11)</f>
        <v>Argentina</v>
      </c>
      <c r="DQ11" s="1">
        <f>VLOOKUP(DP11,$AG$9:$AO$13,9,FALSE)</f>
        <v>11</v>
      </c>
      <c r="DR11" s="1" t="str">
        <f>TEXT(DP11,"")&amp;" vs "&amp;TEXT(DP12,"")</f>
        <v>Argentina vs Romania</v>
      </c>
      <c r="DS11" s="1" t="str">
        <f>TEXT(DP12,"")&amp;" vs "&amp;TEXT(DP11,"")</f>
        <v>Romania vs Argentina</v>
      </c>
      <c r="DT11" s="4">
        <f>IF(ISERROR(VLOOKUP(DR11,RWC2003!$FW$11:$FX$50,2,FALSE)),VLOOKUP(DS11,RWC2003!$FW$11:$FX$50,2,FALSE),VLOOKUP(DR11,RWC2003!$FW$11:$FX$50,2,FALSE))</f>
        <v>22</v>
      </c>
      <c r="DU11" s="4" t="str">
        <f>VLOOKUP(DT11,$B$11:$AA$50,26)</f>
        <v>Argentina</v>
      </c>
      <c r="DV11" s="4">
        <f>VLOOKUP(DP11,$AG$9:$AO$13,6,FALSE)</f>
        <v>140</v>
      </c>
      <c r="DW11" s="4">
        <f>VLOOKUP(DP11,$AG$9:$AO$13,7,FALSE)</f>
        <v>57</v>
      </c>
      <c r="DX11" s="4">
        <f>DV11-DW11</f>
        <v>83</v>
      </c>
      <c r="DZ11" s="1" t="str">
        <f>IF(AND(DQ10=DQ11,OR(DU10="draw",DU10="")),IF(DX10&gt;=DX11,DP11,DP10),DP11)</f>
        <v>Argentina</v>
      </c>
      <c r="EA11" s="1">
        <f>VLOOKUP(DZ11,$AG$9:$AO$13,9,FALSE)</f>
        <v>11</v>
      </c>
      <c r="EB11" s="1" t="str">
        <f>TEXT(DZ11,"")&amp;" vs "&amp;TEXT(DZ12,"")</f>
        <v>Argentina vs Romania</v>
      </c>
      <c r="EC11" s="1" t="str">
        <f>TEXT(DZ12,"")&amp;" vs "&amp;TEXT(DZ11,"")</f>
        <v>Romania vs Argentina</v>
      </c>
      <c r="ED11" s="4">
        <f>IF(ISERROR(VLOOKUP(EB11,RWC2003!$FW$11:$FX$50,2,FALSE)),VLOOKUP(EC11,RWC2003!$FW$11:$FX$50,2,FALSE),VLOOKUP(EB11,RWC2003!$FW$11:$FX$50,2,FALSE))</f>
        <v>22</v>
      </c>
      <c r="EE11" s="4" t="str">
        <f>VLOOKUP(ED11,$B$11:$AA$50,26)</f>
        <v>Argentina</v>
      </c>
      <c r="EF11" s="4">
        <f>VLOOKUP(DZ11,$AG$9:$AO$13,6,FALSE)</f>
        <v>140</v>
      </c>
      <c r="EG11" s="4">
        <f>VLOOKUP(DZ11,$AG$9:$AO$13,7,FALSE)</f>
        <v>57</v>
      </c>
      <c r="EH11" s="4">
        <f>EF11-EG11</f>
        <v>83</v>
      </c>
      <c r="EJ11" s="1" t="str">
        <f>IF(AND(EA11=EA12,OR(EE11="draw",EE11="")),IF(EH11&gt;=EH12,DZ11,DZ12),DZ11)</f>
        <v>Argentina</v>
      </c>
      <c r="EK11" s="1">
        <f>VLOOKUP(EJ11,$AG$9:$AO$13,9,FALSE)</f>
        <v>11</v>
      </c>
      <c r="EL11" s="1" t="str">
        <f>TEXT(EJ11,"")&amp;" vs "&amp;TEXT(EJ12,"")</f>
        <v>Argentina vs Romania</v>
      </c>
      <c r="EM11" s="1" t="str">
        <f>TEXT(EJ12,"")&amp;" vs "&amp;TEXT(EJ11,"")</f>
        <v>Romania vs Argentina</v>
      </c>
      <c r="EN11" s="4">
        <f>IF(ISERROR(VLOOKUP(EL11,RWC2003!$FW$11:$FX$50,2,FALSE)),VLOOKUP(EM11,RWC2003!$FW$11:$FX$50,2,FALSE),VLOOKUP(EL11,RWC2003!$FW$11:$FX$50,2,FALSE))</f>
        <v>22</v>
      </c>
      <c r="EO11" s="4" t="str">
        <f>VLOOKUP(EN11,$B$11:$AA$50,26)</f>
        <v>Argentina</v>
      </c>
      <c r="EP11" s="4">
        <f>VLOOKUP(EJ11,$AG$9:$AO$13,6,FALSE)</f>
        <v>140</v>
      </c>
      <c r="EQ11" s="4">
        <f>VLOOKUP(EJ11,$AG$9:$AO$13,7,FALSE)</f>
        <v>57</v>
      </c>
      <c r="ER11" s="4">
        <f>EP11-EQ11</f>
        <v>83</v>
      </c>
      <c r="ET11" s="1" t="str">
        <f>EJ11</f>
        <v>Argentina</v>
      </c>
      <c r="EU11" s="4">
        <f>VLOOKUP($ET11,$AG$9:$AP$13,2,FALSE)</f>
        <v>4</v>
      </c>
      <c r="EV11" s="4">
        <f>VLOOKUP($ET11,$AG$9:$AP$13,3,FALSE)</f>
        <v>2</v>
      </c>
      <c r="EW11" s="4">
        <f>VLOOKUP($ET11,$AG$9:$AP$13,4,FALSE)</f>
        <v>0</v>
      </c>
      <c r="EX11" s="4">
        <f>VLOOKUP($ET11,$AG$9:$AP$13,5,FALSE)</f>
        <v>2</v>
      </c>
      <c r="EY11" s="4">
        <f>VLOOKUP($ET11,$AG$9:$AP$13,6,FALSE)</f>
        <v>140</v>
      </c>
      <c r="EZ11" s="4">
        <f>VLOOKUP($ET11,$AG$9:$AP$13,7,FALSE)</f>
        <v>57</v>
      </c>
      <c r="FA11" s="4">
        <f>VLOOKUP($ET11,$AG$9:$AP$13,8,FALSE)</f>
        <v>3</v>
      </c>
      <c r="FB11" s="4">
        <f>VLOOKUP($ET11,$AG$9:$AP$13,9,FALSE)</f>
        <v>11</v>
      </c>
      <c r="FE11" s="69">
        <f>CHOOSE($FG$8,FG11,FH11,FI11,FJ11,FK11,FL11,FM11,FN11,FO11)</f>
        <v>37904.25</v>
      </c>
      <c r="FF11" s="67"/>
      <c r="FG11" s="69">
        <f>FH11</f>
        <v>37904.833333333336</v>
      </c>
      <c r="FH11" s="69">
        <v>37904.833333333336</v>
      </c>
      <c r="FI11" s="69">
        <f aca="true" t="shared" si="2" ref="FI11:FI49">$FH11+(2/24)</f>
        <v>37904.91666666667</v>
      </c>
      <c r="FJ11" s="69">
        <f>$FH11-(8/24)</f>
        <v>37904.5</v>
      </c>
      <c r="FK11" s="69">
        <f>$FH11-(8/24)</f>
        <v>37904.5</v>
      </c>
      <c r="FL11" s="69">
        <f>$FH11-(9/24)</f>
        <v>37904.458333333336</v>
      </c>
      <c r="FM11" s="69">
        <f>$FH11-(14/24)</f>
        <v>37904.25</v>
      </c>
      <c r="FN11" s="69">
        <f>$FH11-(17/24)</f>
        <v>37904.125</v>
      </c>
      <c r="FO11" s="69">
        <f>$FH11-(15/24)</f>
        <v>37904.208333333336</v>
      </c>
      <c r="FP11" s="67"/>
      <c r="FQ11" s="34" t="str">
        <f>UPPER(FG10)</f>
        <v>LOCAL</v>
      </c>
      <c r="FT11" t="str">
        <f>TEXT(RWC2003!D11,"")&amp;" vs "&amp;TEXT(RWC2003!K11,"")</f>
        <v>Australia vs Argentina</v>
      </c>
      <c r="FU11">
        <v>1</v>
      </c>
      <c r="FV11"/>
      <c r="FW11" t="s">
        <v>101</v>
      </c>
      <c r="FX11">
        <v>29</v>
      </c>
    </row>
    <row r="12" spans="2:180" ht="13.5" customHeight="1" thickBot="1">
      <c r="B12" s="1">
        <v>2</v>
      </c>
      <c r="C12" s="88">
        <f aca="true" t="shared" si="3" ref="C12:C50">FE12</f>
        <v>37905.02083333333</v>
      </c>
      <c r="D12" s="46" t="s">
        <v>28</v>
      </c>
      <c r="E12" s="46"/>
      <c r="F12" s="66">
        <v>11</v>
      </c>
      <c r="G12" s="74">
        <v>70</v>
      </c>
      <c r="H12" s="74">
        <v>7</v>
      </c>
      <c r="I12" s="47">
        <v>1</v>
      </c>
      <c r="J12" s="48"/>
      <c r="K12" s="49" t="s">
        <v>76</v>
      </c>
      <c r="L12" s="50" t="s">
        <v>5</v>
      </c>
      <c r="M12" s="51" t="s">
        <v>39</v>
      </c>
      <c r="N12" s="1" t="s">
        <v>81</v>
      </c>
      <c r="P12" s="77" t="str">
        <f>ET12</f>
        <v>Romania</v>
      </c>
      <c r="Q12" s="78">
        <f t="shared" si="0"/>
        <v>4</v>
      </c>
      <c r="R12" s="78">
        <f t="shared" si="0"/>
        <v>1</v>
      </c>
      <c r="S12" s="78">
        <f t="shared" si="0"/>
        <v>0</v>
      </c>
      <c r="T12" s="78">
        <f t="shared" si="0"/>
        <v>3</v>
      </c>
      <c r="U12" s="78">
        <f t="shared" si="0"/>
        <v>65</v>
      </c>
      <c r="V12" s="78">
        <f t="shared" si="1"/>
        <v>192</v>
      </c>
      <c r="W12" s="78">
        <f t="shared" si="1"/>
        <v>1</v>
      </c>
      <c r="X12" s="79">
        <f t="shared" si="1"/>
        <v>5</v>
      </c>
      <c r="Y12" s="4"/>
      <c r="Z12" s="4"/>
      <c r="AA12" s="1" t="str">
        <f aca="true" t="shared" si="4" ref="AA12:AA50">IF(G12="","",IF(G12&gt;H12,D12,IF(G12&lt;H12,K12,"Draw")))</f>
        <v>New Zealand</v>
      </c>
      <c r="AB12" s="1" t="str">
        <f aca="true" t="shared" si="5" ref="AB12:AB50">IF(G12="","",IF(G12&lt;H12,D12,IF(G12&gt;H12,K12,"Draw")))</f>
        <v>Italy</v>
      </c>
      <c r="AC12" s="1">
        <f aca="true" t="shared" si="6" ref="AC12:AC50">IF(OR(MAX(G12:H12)-MIN(G12:H12)&lt;8,H12=G12),AB12,"")</f>
      </c>
      <c r="AD12" s="1" t="str">
        <f aca="true" t="shared" si="7" ref="AD12:AD50">IF(F12&gt;=4,D12,"")</f>
        <v>New Zealand</v>
      </c>
      <c r="AE12" s="1">
        <f aca="true" t="shared" si="8" ref="AE12:AE50">IF(I12&gt;=4,K12,"")</f>
      </c>
      <c r="AG12" s="20" t="s">
        <v>77</v>
      </c>
      <c r="AH12" s="4">
        <f>COUNT(nam)</f>
        <v>4</v>
      </c>
      <c r="AI12" s="4">
        <f>COUNTIF($AA$11:$AA$50,AG12)</f>
        <v>0</v>
      </c>
      <c r="AJ12" s="4">
        <f>AH12-AI12-AK12</f>
        <v>0</v>
      </c>
      <c r="AK12" s="4">
        <f>COUNTIF($AB$11:$AB$50,AG12)</f>
        <v>4</v>
      </c>
      <c r="AL12" s="4">
        <f>SUM(nam)</f>
        <v>28</v>
      </c>
      <c r="AM12" s="4">
        <f>SUM(nam_a)</f>
        <v>310</v>
      </c>
      <c r="AN12" s="4">
        <f>COUNTIF($AC$11:$AE$50,AG12)</f>
        <v>0</v>
      </c>
      <c r="AO12" s="4">
        <f>AI12*win_pts+AJ12*draw_pts+AK12*loss_pts+AN12</f>
        <v>0</v>
      </c>
      <c r="AQ12" s="1" t="str">
        <f>IF(AO12&lt;=AO11,AG12,AG11)</f>
        <v>Namibia</v>
      </c>
      <c r="AR12" s="1">
        <f>VLOOKUP(AQ12,$AG$9:$AO$13,9,FALSE)</f>
        <v>0</v>
      </c>
      <c r="AS12"/>
      <c r="AT12" s="1" t="str">
        <f>IF(AR12&gt;=AR13,AQ12,AQ13)</f>
        <v>Romania</v>
      </c>
      <c r="AU12" s="1">
        <f>VLOOKUP(AT12,$AG$9:$AO$13,9,FALSE)</f>
        <v>5</v>
      </c>
      <c r="AW12" s="1" t="str">
        <f>IF(AU12&lt;=AU11,AT12,AT11)</f>
        <v>Romania</v>
      </c>
      <c r="AX12" s="1">
        <f>VLOOKUP(AW12,$AG$9:$AO$13,9,FALSE)</f>
        <v>5</v>
      </c>
      <c r="AZ12" s="1" t="str">
        <f>IF(AX12&gt;=AX13,AW12,AW13)</f>
        <v>Romania</v>
      </c>
      <c r="BA12" s="1">
        <f>VLOOKUP(AZ12,$AG$9:$AO$13,9,FALSE)</f>
        <v>5</v>
      </c>
      <c r="BC12" s="1" t="str">
        <f>IF(BA12&lt;=BA11,AZ12,AZ11)</f>
        <v>Romania</v>
      </c>
      <c r="BD12" s="1">
        <f>VLOOKUP(BC12,$AG$9:$AO$13,9,FALSE)</f>
        <v>5</v>
      </c>
      <c r="BG12" s="4"/>
      <c r="BH12" s="4"/>
      <c r="BJ12" s="1" t="str">
        <f>IF(AND(BD11=BD12,BH11=BC12),BC11,BC12)</f>
        <v>Romania</v>
      </c>
      <c r="BK12" s="1">
        <f>VLOOKUP(BJ12,$AG$9:$AO$13,9,FALSE)</f>
        <v>5</v>
      </c>
      <c r="BL12" s="1" t="str">
        <f>TEXT(BJ12,"")&amp;" vs "&amp;TEXT(BJ13,"")</f>
        <v>Romania vs Namibia</v>
      </c>
      <c r="BM12" s="1" t="str">
        <f>TEXT(BJ13,"")&amp;" vs "&amp;TEXT(BJ12,"")</f>
        <v>Namibia vs Romania</v>
      </c>
      <c r="BN12" s="4">
        <f>IF(ISERROR(VLOOKUP(BL12,RWC2003!$FW$11:$FX$50,2,FALSE)),VLOOKUP(BM12,RWC2003!$FW$11:$FX$50,2,FALSE),VLOOKUP(BL12,RWC2003!$FW$11:$FX$50,2,FALSE))</f>
        <v>34</v>
      </c>
      <c r="BO12" s="4" t="str">
        <f>VLOOKUP(BN12,$B$11:$AA$50,26)</f>
        <v>Romania</v>
      </c>
      <c r="BQ12" s="1" t="str">
        <f>IF(AND(BK12=BK13,BO12=BJ13),BJ13,BJ12)</f>
        <v>Romania</v>
      </c>
      <c r="BR12" s="1">
        <f>VLOOKUP(BQ12,$AG$9:$AO$13,9,FALSE)</f>
        <v>5</v>
      </c>
      <c r="BU12" s="4"/>
      <c r="BV12" s="4"/>
      <c r="BX12" s="1" t="str">
        <f>IF(AND(BR11=BR12,BV11=BQ12),BQ11,BQ12)</f>
        <v>Romania</v>
      </c>
      <c r="BY12" s="1">
        <f>VLOOKUP(BX12,$AG$9:$AO$13,9,FALSE)</f>
        <v>5</v>
      </c>
      <c r="BZ12" s="1" t="str">
        <f>TEXT(BX12,"")&amp;" vs "&amp;TEXT(BX13,"")</f>
        <v>Romania vs Namibia</v>
      </c>
      <c r="CA12" s="1" t="str">
        <f>TEXT(BX13,"")&amp;" vs "&amp;TEXT(BX12,"")</f>
        <v>Namibia vs Romania</v>
      </c>
      <c r="CB12" s="4">
        <f>IF(ISERROR(VLOOKUP(BZ12,RWC2003!$FW$11:$FX$50,2,FALSE)),VLOOKUP(CA12,RWC2003!$FW$11:$FX$50,2,FALSE),VLOOKUP(BZ12,RWC2003!$FW$11:$FX$50,2,FALSE))</f>
        <v>34</v>
      </c>
      <c r="CC12" s="4" t="str">
        <f>VLOOKUP(CB12,$B$11:$AA$50,26)</f>
        <v>Romania</v>
      </c>
      <c r="CE12" s="1" t="str">
        <f>IF(AND(BY12=BY13,CC12=BX13),BX13,BX12)</f>
        <v>Romania</v>
      </c>
      <c r="CF12" s="1">
        <f>VLOOKUP(CE12,$AG$9:$AO$13,9,FALSE)</f>
        <v>5</v>
      </c>
      <c r="CI12" s="4"/>
      <c r="CJ12" s="4"/>
      <c r="CL12" s="1" t="str">
        <f>IF(AND(CF11=CF12,CJ11=CE12),CE11,CE12)</f>
        <v>Romania</v>
      </c>
      <c r="CM12" s="1">
        <f>VLOOKUP(CL12,$AG$9:$AO$13,9,FALSE)</f>
        <v>5</v>
      </c>
      <c r="CN12" s="1" t="str">
        <f>TEXT(CL12,"")&amp;" vs "&amp;TEXT(CL13,"")</f>
        <v>Romania vs Namibia</v>
      </c>
      <c r="CO12" s="1" t="str">
        <f>TEXT(CL13,"")&amp;" vs "&amp;TEXT(CL12,"")</f>
        <v>Namibia vs Romania</v>
      </c>
      <c r="CP12" s="4">
        <f>IF(ISERROR(VLOOKUP(CN12,RWC2003!$FW$11:$FX$50,2,FALSE)),VLOOKUP(CO12,RWC2003!$FW$11:$FX$50,2,FALSE),VLOOKUP(CN12,RWC2003!$FW$11:$FX$50,2,FALSE))</f>
        <v>34</v>
      </c>
      <c r="CQ12" s="4" t="str">
        <f>VLOOKUP(CP12,$B$11:$AA$50,26)</f>
        <v>Romania</v>
      </c>
      <c r="CR12" s="4">
        <f>VLOOKUP(CL12,$AG$9:$AO$13,6,FALSE)</f>
        <v>65</v>
      </c>
      <c r="CS12" s="4">
        <f>VLOOKUP(CL12,$AG$9:$AO$13,7,FALSE)</f>
        <v>192</v>
      </c>
      <c r="CT12" s="4">
        <f>CR12-CS12</f>
        <v>-127</v>
      </c>
      <c r="CV12" s="1" t="str">
        <f>IF(AND(CM11=CM12,OR(CQ11="draw",CQ11="")),IF(CT11&gt;=CT12,CL12,CL11),CL12)</f>
        <v>Romania</v>
      </c>
      <c r="CW12" s="1">
        <f>VLOOKUP(CV12,$AG$9:$AO$13,9,FALSE)</f>
        <v>5</v>
      </c>
      <c r="CX12" s="1" t="str">
        <f>TEXT(CV12,"")&amp;" vs "&amp;TEXT(CV13,"")</f>
        <v>Romania vs Namibia</v>
      </c>
      <c r="CY12" s="1" t="str">
        <f>TEXT(CV13,"")&amp;" vs "&amp;TEXT(CV12,"")</f>
        <v>Namibia vs Romania</v>
      </c>
      <c r="CZ12" s="4">
        <f>IF(ISERROR(VLOOKUP(CX12,RWC2003!$FW$11:$FX$50,2,FALSE)),VLOOKUP(CY12,RWC2003!$FW$11:$FX$50,2,FALSE),VLOOKUP(CX12,RWC2003!$FW$11:$FX$50,2,FALSE))</f>
        <v>34</v>
      </c>
      <c r="DA12" s="4" t="str">
        <f>VLOOKUP(CZ12,$B$11:$AA$50,26)</f>
        <v>Romania</v>
      </c>
      <c r="DB12" s="4">
        <f>VLOOKUP(CV12,$AG$9:$AO$13,6,FALSE)</f>
        <v>65</v>
      </c>
      <c r="DC12" s="4">
        <f>VLOOKUP(CV12,$AG$9:$AO$13,7,FALSE)</f>
        <v>192</v>
      </c>
      <c r="DD12" s="4">
        <f>DB12-DC12</f>
        <v>-127</v>
      </c>
      <c r="DF12" s="1" t="str">
        <f>IF(AND(CW12=CW13,OR(DA12="draw",DA12="")),IF(DD12&gt;=DD13,CV12,CV13),CV12)</f>
        <v>Romania</v>
      </c>
      <c r="DG12" s="1">
        <f>VLOOKUP(DF12,$AG$9:$AO$13,9,FALSE)</f>
        <v>5</v>
      </c>
      <c r="DH12" s="1" t="str">
        <f>TEXT(DF12,"")&amp;" vs "&amp;TEXT(DF13,"")</f>
        <v>Romania vs Namibia</v>
      </c>
      <c r="DI12" s="1" t="str">
        <f>TEXT(DF13,"")&amp;" vs "&amp;TEXT(DF12,"")</f>
        <v>Namibia vs Romania</v>
      </c>
      <c r="DJ12" s="4">
        <f>IF(ISERROR(VLOOKUP(DH12,RWC2003!$FW$11:$FX$50,2,FALSE)),VLOOKUP(DI12,RWC2003!$FW$11:$FX$50,2,FALSE),VLOOKUP(DH12,RWC2003!$FW$11:$FX$50,2,FALSE))</f>
        <v>34</v>
      </c>
      <c r="DK12" s="4" t="str">
        <f>VLOOKUP(DJ12,$B$11:$AA$50,26)</f>
        <v>Romania</v>
      </c>
      <c r="DL12" s="4">
        <f>VLOOKUP(DF12,$AG$9:$AO$13,6,FALSE)</f>
        <v>65</v>
      </c>
      <c r="DM12" s="4">
        <f>VLOOKUP(DF12,$AG$9:$AO$13,7,FALSE)</f>
        <v>192</v>
      </c>
      <c r="DN12" s="4">
        <f>DL12-DM12</f>
        <v>-127</v>
      </c>
      <c r="DP12" s="1" t="str">
        <f>IF(AND(DG11=DG12,OR(DK11="draw",DK11="")),IF(DN11&gt;=DN12,DF12,DF11),DF12)</f>
        <v>Romania</v>
      </c>
      <c r="DQ12" s="1">
        <f>VLOOKUP(DP12,$AG$9:$AO$13,9,FALSE)</f>
        <v>5</v>
      </c>
      <c r="DR12" s="1" t="str">
        <f>TEXT(DP12,"")&amp;" vs "&amp;TEXT(DP13,"")</f>
        <v>Romania vs Namibia</v>
      </c>
      <c r="DS12" s="1" t="str">
        <f>TEXT(DP13,"")&amp;" vs "&amp;TEXT(DP12,"")</f>
        <v>Namibia vs Romania</v>
      </c>
      <c r="DT12" s="4">
        <f>IF(ISERROR(VLOOKUP(DR12,RWC2003!$FW$11:$FX$50,2,FALSE)),VLOOKUP(DS12,RWC2003!$FW$11:$FX$50,2,FALSE),VLOOKUP(DR12,RWC2003!$FW$11:$FX$50,2,FALSE))</f>
        <v>34</v>
      </c>
      <c r="DU12" s="4" t="str">
        <f>VLOOKUP(DT12,$B$11:$AA$50,26)</f>
        <v>Romania</v>
      </c>
      <c r="DV12" s="4">
        <f>VLOOKUP(DP12,$AG$9:$AO$13,6,FALSE)</f>
        <v>65</v>
      </c>
      <c r="DW12" s="4">
        <f>VLOOKUP(DP12,$AG$9:$AO$13,7,FALSE)</f>
        <v>192</v>
      </c>
      <c r="DX12" s="4">
        <f>DV12-DW12</f>
        <v>-127</v>
      </c>
      <c r="DZ12" s="1" t="str">
        <f>IF(AND(DQ12=DQ13,OR(DU12="draw",DU12="")),IF(DX12&gt;=DX13,DP12,DP13),DP12)</f>
        <v>Romania</v>
      </c>
      <c r="EA12" s="1">
        <f>VLOOKUP(DZ12,$AG$9:$AO$13,9,FALSE)</f>
        <v>5</v>
      </c>
      <c r="EB12" s="1" t="str">
        <f>TEXT(DZ12,"")&amp;" vs "&amp;TEXT(DZ13,"")</f>
        <v>Romania vs Namibia</v>
      </c>
      <c r="EC12" s="1" t="str">
        <f>TEXT(DZ13,"")&amp;" vs "&amp;TEXT(DZ12,"")</f>
        <v>Namibia vs Romania</v>
      </c>
      <c r="ED12" s="4">
        <f>IF(ISERROR(VLOOKUP(EB12,RWC2003!$FW$11:$FX$50,2,FALSE)),VLOOKUP(EC12,RWC2003!$FW$11:$FX$50,2,FALSE),VLOOKUP(EB12,RWC2003!$FW$11:$FX$50,2,FALSE))</f>
        <v>34</v>
      </c>
      <c r="EE12" s="4" t="str">
        <f>VLOOKUP(ED12,$B$11:$AA$50,26)</f>
        <v>Romania</v>
      </c>
      <c r="EF12" s="4">
        <f>VLOOKUP(DZ12,$AG$9:$AO$13,6,FALSE)</f>
        <v>65</v>
      </c>
      <c r="EG12" s="4">
        <f>VLOOKUP(DZ12,$AG$9:$AO$13,7,FALSE)</f>
        <v>192</v>
      </c>
      <c r="EH12" s="4">
        <f>EF12-EG12</f>
        <v>-127</v>
      </c>
      <c r="EJ12" s="1" t="str">
        <f>IF(AND(EA11=EA12,OR(EE11="draw",EE11="")),IF(EH11&gt;=EH12,DZ12,DZ11),DZ12)</f>
        <v>Romania</v>
      </c>
      <c r="EK12" s="1">
        <f>VLOOKUP(EJ12,$AG$9:$AO$13,9,FALSE)</f>
        <v>5</v>
      </c>
      <c r="EL12" s="1" t="str">
        <f>TEXT(EJ12,"")&amp;" vs "&amp;TEXT(EJ13,"")</f>
        <v>Romania vs Namibia</v>
      </c>
      <c r="EM12" s="1" t="str">
        <f>TEXT(EJ13,"")&amp;" vs "&amp;TEXT(EJ12,"")</f>
        <v>Namibia vs Romania</v>
      </c>
      <c r="EN12" s="4">
        <f>IF(ISERROR(VLOOKUP(EL12,RWC2003!$FW$11:$FX$50,2,FALSE)),VLOOKUP(EM12,RWC2003!$FW$11:$FX$50,2,FALSE),VLOOKUP(EL12,RWC2003!$FW$11:$FX$50,2,FALSE))</f>
        <v>34</v>
      </c>
      <c r="EO12" s="4" t="str">
        <f>VLOOKUP(EN12,$B$11:$AA$50,26)</f>
        <v>Romania</v>
      </c>
      <c r="EP12" s="4">
        <f>VLOOKUP(EJ12,$AG$9:$AO$13,6,FALSE)</f>
        <v>65</v>
      </c>
      <c r="EQ12" s="4">
        <f>VLOOKUP(EJ12,$AG$9:$AO$13,7,FALSE)</f>
        <v>192</v>
      </c>
      <c r="ER12" s="4">
        <f>EP12-EQ12</f>
        <v>-127</v>
      </c>
      <c r="ET12" s="1" t="str">
        <f>EJ12</f>
        <v>Romania</v>
      </c>
      <c r="EU12" s="4">
        <f>VLOOKUP($ET12,$AG$9:$AP$13,2,FALSE)</f>
        <v>4</v>
      </c>
      <c r="EV12" s="4">
        <f>VLOOKUP($ET12,$AG$9:$AP$13,3,FALSE)</f>
        <v>1</v>
      </c>
      <c r="EW12" s="4">
        <f>VLOOKUP($ET12,$AG$9:$AP$13,4,FALSE)</f>
        <v>0</v>
      </c>
      <c r="EX12" s="4">
        <f>VLOOKUP($ET12,$AG$9:$AP$13,5,FALSE)</f>
        <v>3</v>
      </c>
      <c r="EY12" s="4">
        <f>VLOOKUP($ET12,$AG$9:$AP$13,6,FALSE)</f>
        <v>65</v>
      </c>
      <c r="EZ12" s="4">
        <f>VLOOKUP($ET12,$AG$9:$AP$13,7,FALSE)</f>
        <v>192</v>
      </c>
      <c r="FA12" s="4">
        <f>VLOOKUP($ET12,$AG$9:$AP$13,8,FALSE)</f>
        <v>1</v>
      </c>
      <c r="FB12" s="4">
        <f>VLOOKUP($ET12,$AG$9:$AP$13,9,FALSE)</f>
        <v>5</v>
      </c>
      <c r="FE12" s="69">
        <f>CHOOSE($FG$8,FG12,FH12,FI12,FJ12,FK12,FL12,FM12,FN12,FO12)</f>
        <v>37905.02083333333</v>
      </c>
      <c r="FF12" s="67"/>
      <c r="FG12" s="69">
        <f>FH12</f>
        <v>37905.604166666664</v>
      </c>
      <c r="FH12" s="69">
        <v>37905.604166666664</v>
      </c>
      <c r="FI12" s="69">
        <f t="shared" si="2"/>
        <v>37905.6875</v>
      </c>
      <c r="FJ12" s="69">
        <f aca="true" t="shared" si="9" ref="FJ12:FK38">$FH12-(8/24)</f>
        <v>37905.27083333333</v>
      </c>
      <c r="FK12" s="69">
        <f t="shared" si="9"/>
        <v>37905.27083333333</v>
      </c>
      <c r="FL12" s="69">
        <f aca="true" t="shared" si="10" ref="FL12:FL38">$FH12-(9/24)</f>
        <v>37905.229166666664</v>
      </c>
      <c r="FM12" s="69">
        <f aca="true" t="shared" si="11" ref="FM12:FM38">$FH12-(14/24)</f>
        <v>37905.02083333333</v>
      </c>
      <c r="FN12" s="69">
        <f aca="true" t="shared" si="12" ref="FN12:FN38">$FH12-(17/24)</f>
        <v>37904.89583333333</v>
      </c>
      <c r="FO12" s="69">
        <f aca="true" t="shared" si="13" ref="FO12:FO38">$FH12-(15/24)</f>
        <v>37904.979166666664</v>
      </c>
      <c r="FP12" s="67"/>
      <c r="FQ12" s="34" t="str">
        <f>UPPER(FH10)</f>
        <v>SYDNEY</v>
      </c>
      <c r="FT12" t="str">
        <f>TEXT(RWC2003!D12,"")&amp;" vs "&amp;TEXT(RWC2003!K12,"")</f>
        <v>New Zealand vs Italy</v>
      </c>
      <c r="FU12">
        <v>2</v>
      </c>
      <c r="FV12"/>
      <c r="FW12" t="s">
        <v>121</v>
      </c>
      <c r="FX12">
        <v>9</v>
      </c>
    </row>
    <row r="13" spans="2:180" ht="13.5" customHeight="1" thickBot="1">
      <c r="B13" s="1">
        <v>3</v>
      </c>
      <c r="C13" s="88">
        <f t="shared" si="3"/>
        <v>37905.125</v>
      </c>
      <c r="D13" s="46" t="s">
        <v>75</v>
      </c>
      <c r="E13" s="46"/>
      <c r="F13" s="66">
        <v>5</v>
      </c>
      <c r="G13" s="74">
        <v>45</v>
      </c>
      <c r="H13" s="74">
        <v>17</v>
      </c>
      <c r="I13" s="47">
        <v>2</v>
      </c>
      <c r="J13" s="48"/>
      <c r="K13" s="49" t="s">
        <v>78</v>
      </c>
      <c r="L13" s="50" t="s">
        <v>10</v>
      </c>
      <c r="M13" s="51" t="s">
        <v>42</v>
      </c>
      <c r="N13" s="1" t="s">
        <v>82</v>
      </c>
      <c r="P13" s="80" t="str">
        <f>ET13</f>
        <v>Namibia</v>
      </c>
      <c r="Q13" s="81">
        <f t="shared" si="0"/>
        <v>4</v>
      </c>
      <c r="R13" s="81">
        <f t="shared" si="0"/>
        <v>0</v>
      </c>
      <c r="S13" s="81">
        <f t="shared" si="0"/>
        <v>0</v>
      </c>
      <c r="T13" s="81">
        <f t="shared" si="0"/>
        <v>4</v>
      </c>
      <c r="U13" s="81">
        <f t="shared" si="0"/>
        <v>28</v>
      </c>
      <c r="V13" s="81">
        <f t="shared" si="1"/>
        <v>310</v>
      </c>
      <c r="W13" s="81">
        <f t="shared" si="1"/>
        <v>0</v>
      </c>
      <c r="X13" s="82">
        <f t="shared" si="1"/>
        <v>0</v>
      </c>
      <c r="AA13" s="1" t="str">
        <f t="shared" si="4"/>
        <v>Ireland</v>
      </c>
      <c r="AB13" s="1" t="str">
        <f t="shared" si="5"/>
        <v>Romania</v>
      </c>
      <c r="AC13" s="1">
        <f t="shared" si="6"/>
      </c>
      <c r="AD13" s="1" t="str">
        <f t="shared" si="7"/>
        <v>Ireland</v>
      </c>
      <c r="AE13" s="1">
        <f t="shared" si="8"/>
      </c>
      <c r="AG13" s="20" t="s">
        <v>78</v>
      </c>
      <c r="AH13" s="4">
        <f>COUNT(rom)</f>
        <v>4</v>
      </c>
      <c r="AI13" s="4">
        <f>COUNTIF($AA$11:$AA$50,AG13)</f>
        <v>1</v>
      </c>
      <c r="AJ13" s="4">
        <f>AH13-AI13-AK13</f>
        <v>0</v>
      </c>
      <c r="AK13" s="4">
        <f>COUNTIF($AB$11:$AB$50,AG13)</f>
        <v>3</v>
      </c>
      <c r="AL13" s="4">
        <f>SUM(rom)</f>
        <v>65</v>
      </c>
      <c r="AM13" s="4">
        <f>SUM(rom_a)</f>
        <v>192</v>
      </c>
      <c r="AN13" s="4">
        <f>COUNTIF($AC$11:$AE$50,AG13)</f>
        <v>1</v>
      </c>
      <c r="AO13" s="4">
        <f>AI13*win_pts+AJ13*draw_pts+AK13*loss_pts+AN13</f>
        <v>5</v>
      </c>
      <c r="AQ13" s="1" t="str">
        <f>AG13</f>
        <v>Romania</v>
      </c>
      <c r="AR13" s="1">
        <f>VLOOKUP(AQ13,$AG$9:$AO$13,9,FALSE)</f>
        <v>5</v>
      </c>
      <c r="AS13"/>
      <c r="AT13" s="1" t="str">
        <f>IF(AR13&lt;=AR12,AQ13,AQ12)</f>
        <v>Namibia</v>
      </c>
      <c r="AU13" s="1">
        <f>VLOOKUP(AT13,$AG$9:$AO$13,9,FALSE)</f>
        <v>0</v>
      </c>
      <c r="AW13" s="1" t="str">
        <f>AT13</f>
        <v>Namibia</v>
      </c>
      <c r="AX13" s="1">
        <f>AU13</f>
        <v>0</v>
      </c>
      <c r="AZ13" s="1" t="str">
        <f>IF(AX13&lt;=AX12,AW13,AW12)</f>
        <v>Namibia</v>
      </c>
      <c r="BA13" s="1">
        <f>VLOOKUP(AZ13,$AG$9:$AO$13,9,FALSE)</f>
        <v>0</v>
      </c>
      <c r="BC13" s="1" t="str">
        <f>AZ13</f>
        <v>Namibia</v>
      </c>
      <c r="BD13" s="1">
        <f>BA13</f>
        <v>0</v>
      </c>
      <c r="BG13" s="4"/>
      <c r="BH13" s="4"/>
      <c r="BJ13" s="1" t="str">
        <f>BC13</f>
        <v>Namibia</v>
      </c>
      <c r="BK13" s="1">
        <f>VLOOKUP(BJ13,$AG$9:$AO$13,9,FALSE)</f>
        <v>0</v>
      </c>
      <c r="BN13" s="4"/>
      <c r="BO13" s="4"/>
      <c r="BQ13" s="1" t="str">
        <f>IF(AND(BK12=BK13,BO12=BJ13),BJ12,BJ13)</f>
        <v>Namibia</v>
      </c>
      <c r="BR13" s="1">
        <f>VLOOKUP(BQ13,$AG$9:$AO$13,9,FALSE)</f>
        <v>0</v>
      </c>
      <c r="BU13" s="4"/>
      <c r="BV13" s="4"/>
      <c r="BX13" s="1" t="str">
        <f>BQ13</f>
        <v>Namibia</v>
      </c>
      <c r="BY13" s="1">
        <f>VLOOKUP(BX13,$AG$9:$AO$13,9,FALSE)</f>
        <v>0</v>
      </c>
      <c r="CB13" s="4"/>
      <c r="CC13" s="4"/>
      <c r="CE13" s="1" t="str">
        <f>IF(AND(BY12=BY13,CC12=BX13),BX12,BX13)</f>
        <v>Namibia</v>
      </c>
      <c r="CF13" s="1">
        <f>VLOOKUP(CE13,$AG$9:$AO$13,9,FALSE)</f>
        <v>0</v>
      </c>
      <c r="CI13" s="4"/>
      <c r="CJ13" s="4"/>
      <c r="CL13" s="1" t="str">
        <f>CE13</f>
        <v>Namibia</v>
      </c>
      <c r="CM13" s="1">
        <f>VLOOKUP(CL13,$AG$9:$AO$13,9,FALSE)</f>
        <v>0</v>
      </c>
      <c r="CR13" s="4">
        <f>VLOOKUP(CL13,$AG$9:$AO$13,6,FALSE)</f>
        <v>28</v>
      </c>
      <c r="CS13" s="4">
        <f>VLOOKUP(CL13,$AG$9:$AO$13,7,FALSE)</f>
        <v>310</v>
      </c>
      <c r="CT13" s="4">
        <f>CR13-CS13</f>
        <v>-282</v>
      </c>
      <c r="CV13" s="1" t="str">
        <f>CL13</f>
        <v>Namibia</v>
      </c>
      <c r="CW13" s="1">
        <f>VLOOKUP(CV13,$AG$9:$AO$13,9,FALSE)</f>
        <v>0</v>
      </c>
      <c r="DB13" s="4">
        <f>VLOOKUP(CV13,$AG$9:$AO$13,6,FALSE)</f>
        <v>28</v>
      </c>
      <c r="DC13" s="4">
        <f>VLOOKUP(CV13,$AG$9:$AO$13,7,FALSE)</f>
        <v>310</v>
      </c>
      <c r="DD13" s="4">
        <f>DB13-DC13</f>
        <v>-282</v>
      </c>
      <c r="DF13" s="1" t="str">
        <f>IF(AND(CW12=CW13,OR(DA12="draw",DA12="")),IF(DD12&gt;=DD13,CV13,CV12),CV13)</f>
        <v>Namibia</v>
      </c>
      <c r="DG13" s="1">
        <f>VLOOKUP(DF13,$AG$9:$AO$13,9,FALSE)</f>
        <v>0</v>
      </c>
      <c r="DL13" s="4">
        <f>VLOOKUP(DF13,$AG$9:$AO$13,6,FALSE)</f>
        <v>28</v>
      </c>
      <c r="DM13" s="4">
        <f>VLOOKUP(DF13,$AG$9:$AO$13,7,FALSE)</f>
        <v>310</v>
      </c>
      <c r="DN13" s="4">
        <f>DL13-DM13</f>
        <v>-282</v>
      </c>
      <c r="DP13" s="1" t="str">
        <f>DF13</f>
        <v>Namibia</v>
      </c>
      <c r="DQ13" s="1">
        <f>VLOOKUP(DP13,$AG$9:$AO$13,9,FALSE)</f>
        <v>0</v>
      </c>
      <c r="DV13" s="4">
        <f>VLOOKUP(DP13,$AG$9:$AO$13,6,FALSE)</f>
        <v>28</v>
      </c>
      <c r="DW13" s="4">
        <f>VLOOKUP(DP13,$AG$9:$AO$13,7,FALSE)</f>
        <v>310</v>
      </c>
      <c r="DX13" s="4">
        <f>DV13-DW13</f>
        <v>-282</v>
      </c>
      <c r="DZ13" s="1" t="str">
        <f>IF(AND(DQ12=DQ13,OR(DU12="draw",DU12="")),IF(DX12&gt;=DX13,DP13,DP12),DP13)</f>
        <v>Namibia</v>
      </c>
      <c r="EA13" s="1">
        <f>VLOOKUP(DZ13,$AG$9:$AO$13,9,FALSE)</f>
        <v>0</v>
      </c>
      <c r="EF13" s="4">
        <f>VLOOKUP(DZ13,$AG$9:$AO$13,6,FALSE)</f>
        <v>28</v>
      </c>
      <c r="EG13" s="4">
        <f>VLOOKUP(DZ13,$AG$9:$AO$13,7,FALSE)</f>
        <v>310</v>
      </c>
      <c r="EH13" s="4">
        <f>EF13-EG13</f>
        <v>-282</v>
      </c>
      <c r="EJ13" s="1" t="str">
        <f>DZ13</f>
        <v>Namibia</v>
      </c>
      <c r="EK13" s="1">
        <f>VLOOKUP(EJ13,$AG$9:$AO$13,9,FALSE)</f>
        <v>0</v>
      </c>
      <c r="EP13" s="4">
        <f>VLOOKUP(EJ13,$AG$9:$AO$13,6,FALSE)</f>
        <v>28</v>
      </c>
      <c r="EQ13" s="4">
        <f>VLOOKUP(EJ13,$AG$9:$AO$13,7,FALSE)</f>
        <v>310</v>
      </c>
      <c r="ER13" s="4">
        <f>EP13-EQ13</f>
        <v>-282</v>
      </c>
      <c r="ET13" s="1" t="str">
        <f>EJ13</f>
        <v>Namibia</v>
      </c>
      <c r="EU13" s="4">
        <f>VLOOKUP($ET13,$AG$9:$AP$13,2,FALSE)</f>
        <v>4</v>
      </c>
      <c r="EV13" s="4">
        <f>VLOOKUP($ET13,$AG$9:$AP$13,3,FALSE)</f>
        <v>0</v>
      </c>
      <c r="EW13" s="4">
        <f>VLOOKUP($ET13,$AG$9:$AP$13,4,FALSE)</f>
        <v>0</v>
      </c>
      <c r="EX13" s="4">
        <f>VLOOKUP($ET13,$AG$9:$AP$13,5,FALSE)</f>
        <v>4</v>
      </c>
      <c r="EY13" s="4">
        <f>VLOOKUP($ET13,$AG$9:$AP$13,6,FALSE)</f>
        <v>28</v>
      </c>
      <c r="EZ13" s="4">
        <f>VLOOKUP($ET13,$AG$9:$AP$13,7,FALSE)</f>
        <v>310</v>
      </c>
      <c r="FA13" s="4">
        <f>VLOOKUP($ET13,$AG$9:$AP$13,8,FALSE)</f>
        <v>0</v>
      </c>
      <c r="FB13" s="4">
        <f>VLOOKUP($ET13,$AG$9:$AP$13,9,FALSE)</f>
        <v>0</v>
      </c>
      <c r="FE13" s="69">
        <f aca="true" t="shared" si="14" ref="FE13:FE50">CHOOSE($FG$8,FG13,FH13,FI13,FJ13,FK13,FL13,FM13,FN13,FO13)</f>
        <v>37905.125</v>
      </c>
      <c r="FF13" s="67"/>
      <c r="FG13" s="69">
        <f>FH13</f>
        <v>37905.708333333336</v>
      </c>
      <c r="FH13" s="69">
        <v>37905.708333333336</v>
      </c>
      <c r="FI13" s="69">
        <f t="shared" si="2"/>
        <v>37905.79166666667</v>
      </c>
      <c r="FJ13" s="69">
        <f t="shared" si="9"/>
        <v>37905.375</v>
      </c>
      <c r="FK13" s="69">
        <f t="shared" si="9"/>
        <v>37905.375</v>
      </c>
      <c r="FL13" s="69">
        <f t="shared" si="10"/>
        <v>37905.333333333336</v>
      </c>
      <c r="FM13" s="69">
        <f t="shared" si="11"/>
        <v>37905.125</v>
      </c>
      <c r="FN13" s="69">
        <f t="shared" si="12"/>
        <v>37905</v>
      </c>
      <c r="FO13" s="69">
        <f t="shared" si="13"/>
        <v>37905.083333333336</v>
      </c>
      <c r="FP13" s="67"/>
      <c r="FQ13" s="34" t="str">
        <f>UPPER(FI10)</f>
        <v>NEW ZEALAND</v>
      </c>
      <c r="FT13" t="str">
        <f>TEXT(RWC2003!D13,"")&amp;" vs "&amp;TEXT(RWC2003!K13,"")</f>
        <v>Ireland vs Romania</v>
      </c>
      <c r="FU13">
        <v>3</v>
      </c>
      <c r="FV13"/>
      <c r="FW13" t="s">
        <v>108</v>
      </c>
      <c r="FX13">
        <v>22</v>
      </c>
    </row>
    <row r="14" spans="2:180" ht="13.5" customHeight="1" thickBot="1">
      <c r="B14" s="1">
        <v>4</v>
      </c>
      <c r="C14" s="88">
        <f t="shared" si="3"/>
        <v>37905.229166666664</v>
      </c>
      <c r="D14" s="46" t="s">
        <v>9</v>
      </c>
      <c r="E14" s="46"/>
      <c r="F14" s="66">
        <v>7</v>
      </c>
      <c r="G14" s="74">
        <v>61</v>
      </c>
      <c r="H14" s="74">
        <v>18</v>
      </c>
      <c r="I14" s="47">
        <v>2</v>
      </c>
      <c r="J14" s="49"/>
      <c r="K14" s="49" t="s">
        <v>70</v>
      </c>
      <c r="L14" s="50" t="s">
        <v>12</v>
      </c>
      <c r="M14" s="51" t="s">
        <v>40</v>
      </c>
      <c r="N14" s="1" t="s">
        <v>69</v>
      </c>
      <c r="AA14" s="1" t="str">
        <f t="shared" si="4"/>
        <v>France</v>
      </c>
      <c r="AB14" s="1" t="str">
        <f t="shared" si="5"/>
        <v>Fiji</v>
      </c>
      <c r="AC14" s="1">
        <f t="shared" si="6"/>
      </c>
      <c r="AD14" s="1" t="str">
        <f t="shared" si="7"/>
        <v>France</v>
      </c>
      <c r="AE14" s="1">
        <f t="shared" si="8"/>
      </c>
      <c r="AH14" s="4"/>
      <c r="AI14" s="4"/>
      <c r="AJ14" s="4"/>
      <c r="AK14" s="4"/>
      <c r="AL14" s="4"/>
      <c r="AM14" s="4"/>
      <c r="AN14" s="4"/>
      <c r="AO14" s="4"/>
      <c r="AS14"/>
      <c r="CK14" s="4"/>
      <c r="EU14" s="4"/>
      <c r="EV14" s="4"/>
      <c r="EW14" s="4"/>
      <c r="EX14" s="4"/>
      <c r="EY14" s="4"/>
      <c r="EZ14" s="4"/>
      <c r="FA14" s="4"/>
      <c r="FB14" s="4"/>
      <c r="FE14" s="69">
        <f t="shared" si="14"/>
        <v>37905.229166666664</v>
      </c>
      <c r="FF14" s="67"/>
      <c r="FG14" s="69">
        <f>FH14</f>
        <v>37905.8125</v>
      </c>
      <c r="FH14" s="69">
        <v>37905.8125</v>
      </c>
      <c r="FI14" s="69">
        <f t="shared" si="2"/>
        <v>37905.895833333336</v>
      </c>
      <c r="FJ14" s="69">
        <f t="shared" si="9"/>
        <v>37905.479166666664</v>
      </c>
      <c r="FK14" s="69">
        <f t="shared" si="9"/>
        <v>37905.479166666664</v>
      </c>
      <c r="FL14" s="69">
        <f t="shared" si="10"/>
        <v>37905.4375</v>
      </c>
      <c r="FM14" s="69">
        <f t="shared" si="11"/>
        <v>37905.229166666664</v>
      </c>
      <c r="FN14" s="69">
        <f t="shared" si="12"/>
        <v>37905.104166666664</v>
      </c>
      <c r="FO14" s="69">
        <f t="shared" si="13"/>
        <v>37905.1875</v>
      </c>
      <c r="FP14" s="67"/>
      <c r="FQ14" s="34" t="str">
        <f>UPPER(FJ10)</f>
        <v>SOUTH AFRICA</v>
      </c>
      <c r="FT14" t="str">
        <f>TEXT(RWC2003!D14,"")&amp;" vs "&amp;TEXT(RWC2003!K14,"")</f>
        <v>France vs Fiji</v>
      </c>
      <c r="FU14">
        <v>4</v>
      </c>
      <c r="FV14"/>
      <c r="FW14" t="s">
        <v>129</v>
      </c>
      <c r="FX14">
        <v>1</v>
      </c>
    </row>
    <row r="15" spans="2:180" ht="13.5" customHeight="1" thickBot="1">
      <c r="B15" s="1">
        <v>5</v>
      </c>
      <c r="C15" s="88">
        <f t="shared" si="3"/>
        <v>37905.33333333333</v>
      </c>
      <c r="D15" s="46" t="s">
        <v>11</v>
      </c>
      <c r="E15" s="46"/>
      <c r="F15" s="66">
        <v>12</v>
      </c>
      <c r="G15" s="74">
        <v>72</v>
      </c>
      <c r="H15" s="74">
        <v>6</v>
      </c>
      <c r="I15" s="47">
        <v>0</v>
      </c>
      <c r="J15" s="48"/>
      <c r="K15" s="49" t="s">
        <v>73</v>
      </c>
      <c r="L15" s="50" t="s">
        <v>13</v>
      </c>
      <c r="M15" s="51" t="s">
        <v>43</v>
      </c>
      <c r="N15" s="1" t="s">
        <v>44</v>
      </c>
      <c r="Y15" s="4"/>
      <c r="Z15" s="4"/>
      <c r="AA15" s="1" t="str">
        <f t="shared" si="4"/>
        <v>South Africa</v>
      </c>
      <c r="AB15" s="1" t="str">
        <f t="shared" si="5"/>
        <v>Uruguay</v>
      </c>
      <c r="AC15" s="1">
        <f t="shared" si="6"/>
      </c>
      <c r="AD15" s="1" t="str">
        <f t="shared" si="7"/>
        <v>South Africa</v>
      </c>
      <c r="AE15" s="1">
        <f t="shared" si="8"/>
      </c>
      <c r="CK15" s="4"/>
      <c r="FE15" s="69">
        <f t="shared" si="14"/>
        <v>37905.33333333333</v>
      </c>
      <c r="FF15" s="67"/>
      <c r="FG15" s="69">
        <f>FH15-(2/24)</f>
        <v>37905.83333333333</v>
      </c>
      <c r="FH15" s="69">
        <v>37905.916666666664</v>
      </c>
      <c r="FI15" s="69">
        <f t="shared" si="2"/>
        <v>37906</v>
      </c>
      <c r="FJ15" s="69">
        <f t="shared" si="9"/>
        <v>37905.58333333333</v>
      </c>
      <c r="FK15" s="69">
        <f t="shared" si="9"/>
        <v>37905.58333333333</v>
      </c>
      <c r="FL15" s="69">
        <f t="shared" si="10"/>
        <v>37905.541666666664</v>
      </c>
      <c r="FM15" s="69">
        <f t="shared" si="11"/>
        <v>37905.33333333333</v>
      </c>
      <c r="FN15" s="69">
        <f t="shared" si="12"/>
        <v>37905.20833333333</v>
      </c>
      <c r="FO15" s="69">
        <f t="shared" si="13"/>
        <v>37905.291666666664</v>
      </c>
      <c r="FP15" s="67"/>
      <c r="FQ15" s="34" t="str">
        <f>UPPER(FK10)</f>
        <v>FRANCE</v>
      </c>
      <c r="FT15" t="str">
        <f>TEXT(RWC2003!D15,"")&amp;" vs "&amp;TEXT(RWC2003!K15,"")</f>
        <v>South Africa vs Uruguay</v>
      </c>
      <c r="FU15">
        <v>5</v>
      </c>
      <c r="FV15"/>
      <c r="FW15" t="s">
        <v>92</v>
      </c>
      <c r="FX15">
        <v>38</v>
      </c>
    </row>
    <row r="16" spans="2:180" ht="13.5" customHeight="1" thickBot="1">
      <c r="B16" s="1">
        <v>6</v>
      </c>
      <c r="C16" s="88">
        <f t="shared" si="3"/>
        <v>37906.166666666664</v>
      </c>
      <c r="D16" s="46" t="s">
        <v>37</v>
      </c>
      <c r="E16" s="46"/>
      <c r="F16" s="66">
        <v>5</v>
      </c>
      <c r="G16" s="74">
        <v>41</v>
      </c>
      <c r="H16" s="74">
        <v>10</v>
      </c>
      <c r="I16" s="47">
        <v>1</v>
      </c>
      <c r="J16" s="48"/>
      <c r="K16" s="49" t="s">
        <v>74</v>
      </c>
      <c r="L16" s="50" t="s">
        <v>5</v>
      </c>
      <c r="M16" s="51" t="s">
        <v>39</v>
      </c>
      <c r="N16" s="1" t="s">
        <v>81</v>
      </c>
      <c r="P16" s="56" t="s">
        <v>57</v>
      </c>
      <c r="Q16" s="18"/>
      <c r="R16" s="18"/>
      <c r="S16" s="18"/>
      <c r="T16" s="18"/>
      <c r="U16" s="18"/>
      <c r="V16" s="18"/>
      <c r="W16" s="18"/>
      <c r="X16" s="19"/>
      <c r="Y16" s="4"/>
      <c r="Z16" s="4"/>
      <c r="AA16" s="1" t="str">
        <f t="shared" si="4"/>
        <v>Wales</v>
      </c>
      <c r="AB16" s="1" t="str">
        <f t="shared" si="5"/>
        <v>Canada</v>
      </c>
      <c r="AC16" s="1">
        <f t="shared" si="6"/>
      </c>
      <c r="AD16" s="1" t="str">
        <f t="shared" si="7"/>
        <v>Wales</v>
      </c>
      <c r="AE16" s="1">
        <f t="shared" si="8"/>
      </c>
      <c r="AG16" s="2" t="s">
        <v>57</v>
      </c>
      <c r="FE16" s="69">
        <f t="shared" si="14"/>
        <v>37906.166666666664</v>
      </c>
      <c r="FF16" s="67"/>
      <c r="FG16" s="69">
        <f>FH16</f>
        <v>37906.75</v>
      </c>
      <c r="FH16" s="69">
        <v>37906.75</v>
      </c>
      <c r="FI16" s="69">
        <f t="shared" si="2"/>
        <v>37906.833333333336</v>
      </c>
      <c r="FJ16" s="69">
        <f t="shared" si="9"/>
        <v>37906.416666666664</v>
      </c>
      <c r="FK16" s="69">
        <f t="shared" si="9"/>
        <v>37906.416666666664</v>
      </c>
      <c r="FL16" s="69">
        <f t="shared" si="10"/>
        <v>37906.375</v>
      </c>
      <c r="FM16" s="69">
        <f t="shared" si="11"/>
        <v>37906.166666666664</v>
      </c>
      <c r="FN16" s="69">
        <f t="shared" si="12"/>
        <v>37906.041666666664</v>
      </c>
      <c r="FO16" s="69">
        <f t="shared" si="13"/>
        <v>37906.125</v>
      </c>
      <c r="FP16" s="67"/>
      <c r="FQ16" s="34" t="str">
        <f>UPPER(FL10)</f>
        <v>UK &amp; IRELAND</v>
      </c>
      <c r="FT16" t="str">
        <f>TEXT(RWC2003!D16,"")&amp;" vs "&amp;TEXT(RWC2003!K16,"")</f>
        <v>Wales vs Canada</v>
      </c>
      <c r="FU16">
        <v>6</v>
      </c>
      <c r="FV16"/>
      <c r="FW16" t="s">
        <v>104</v>
      </c>
      <c r="FX16">
        <v>26</v>
      </c>
    </row>
    <row r="17" spans="2:180" ht="13.5" customHeight="1" thickBot="1">
      <c r="B17" s="1">
        <v>7</v>
      </c>
      <c r="C17" s="88">
        <f t="shared" si="3"/>
        <v>37906.25</v>
      </c>
      <c r="D17" s="46" t="s">
        <v>35</v>
      </c>
      <c r="E17" s="46"/>
      <c r="F17" s="66">
        <v>5</v>
      </c>
      <c r="G17" s="74">
        <v>32</v>
      </c>
      <c r="H17" s="74">
        <v>11</v>
      </c>
      <c r="I17" s="47">
        <v>1</v>
      </c>
      <c r="J17" s="48"/>
      <c r="K17" s="49" t="s">
        <v>71</v>
      </c>
      <c r="L17" s="50" t="s">
        <v>12</v>
      </c>
      <c r="M17" s="51" t="s">
        <v>45</v>
      </c>
      <c r="N17" s="1" t="s">
        <v>46</v>
      </c>
      <c r="P17" s="14"/>
      <c r="Q17" s="24" t="str">
        <f>$Q$8</f>
        <v>P</v>
      </c>
      <c r="R17" s="24" t="str">
        <f>$R$8</f>
        <v>W</v>
      </c>
      <c r="S17" s="24" t="str">
        <f>$S$8</f>
        <v>D</v>
      </c>
      <c r="T17" s="24" t="str">
        <f>$T$8</f>
        <v>L</v>
      </c>
      <c r="U17" s="24" t="str">
        <f>$U$8</f>
        <v>For</v>
      </c>
      <c r="V17" s="24" t="str">
        <f>$V$8</f>
        <v>Agst</v>
      </c>
      <c r="W17" s="24" t="s">
        <v>84</v>
      </c>
      <c r="X17" s="25" t="str">
        <f>$X$8</f>
        <v>Points</v>
      </c>
      <c r="Y17" s="4"/>
      <c r="Z17" s="4"/>
      <c r="AA17" s="1" t="str">
        <f t="shared" si="4"/>
        <v>Scotland</v>
      </c>
      <c r="AB17" s="1" t="str">
        <f t="shared" si="5"/>
        <v>Japan</v>
      </c>
      <c r="AC17" s="1">
        <f t="shared" si="6"/>
      </c>
      <c r="AD17" s="1" t="str">
        <f t="shared" si="7"/>
        <v>Scotland</v>
      </c>
      <c r="AE17" s="1">
        <f t="shared" si="8"/>
      </c>
      <c r="AH17" s="4" t="s">
        <v>3</v>
      </c>
      <c r="AI17" s="4" t="s">
        <v>4</v>
      </c>
      <c r="AJ17" s="4" t="s">
        <v>5</v>
      </c>
      <c r="AK17" s="4" t="s">
        <v>6</v>
      </c>
      <c r="AL17" s="4" t="s">
        <v>7</v>
      </c>
      <c r="AM17" s="4" t="s">
        <v>14</v>
      </c>
      <c r="AN17" s="4" t="s">
        <v>84</v>
      </c>
      <c r="AO17" s="4" t="s">
        <v>15</v>
      </c>
      <c r="AQ17" s="1" t="s">
        <v>20</v>
      </c>
      <c r="AR17" s="3" t="s">
        <v>15</v>
      </c>
      <c r="AS17" s="3"/>
      <c r="AT17" s="1" t="s">
        <v>20</v>
      </c>
      <c r="AU17" s="3" t="s">
        <v>15</v>
      </c>
      <c r="AV17" s="3"/>
      <c r="AW17" s="1" t="s">
        <v>20</v>
      </c>
      <c r="AX17" s="3" t="s">
        <v>15</v>
      </c>
      <c r="AY17" s="3"/>
      <c r="AZ17" s="1" t="s">
        <v>20</v>
      </c>
      <c r="BA17" s="3" t="s">
        <v>15</v>
      </c>
      <c r="BC17" s="1" t="s">
        <v>20</v>
      </c>
      <c r="BD17" s="3" t="s">
        <v>15</v>
      </c>
      <c r="BE17" s="4" t="s">
        <v>131</v>
      </c>
      <c r="BF17" s="4" t="s">
        <v>132</v>
      </c>
      <c r="BG17" s="4" t="s">
        <v>130</v>
      </c>
      <c r="BH17" s="4" t="s">
        <v>1</v>
      </c>
      <c r="BJ17" s="1" t="s">
        <v>20</v>
      </c>
      <c r="BK17" s="3" t="s">
        <v>15</v>
      </c>
      <c r="BL17" s="4" t="s">
        <v>131</v>
      </c>
      <c r="BM17" s="4" t="s">
        <v>132</v>
      </c>
      <c r="BN17" s="4" t="s">
        <v>130</v>
      </c>
      <c r="BO17" s="4" t="s">
        <v>1</v>
      </c>
      <c r="BQ17" s="1" t="s">
        <v>20</v>
      </c>
      <c r="BR17" s="3" t="s">
        <v>15</v>
      </c>
      <c r="BS17" s="4" t="s">
        <v>131</v>
      </c>
      <c r="BT17" s="4" t="s">
        <v>132</v>
      </c>
      <c r="BU17" s="4" t="s">
        <v>130</v>
      </c>
      <c r="BV17" s="4" t="s">
        <v>1</v>
      </c>
      <c r="BX17" s="1" t="s">
        <v>20</v>
      </c>
      <c r="BY17" s="3" t="s">
        <v>15</v>
      </c>
      <c r="BZ17" s="4" t="s">
        <v>131</v>
      </c>
      <c r="CA17" s="4" t="s">
        <v>132</v>
      </c>
      <c r="CB17" s="4" t="s">
        <v>130</v>
      </c>
      <c r="CC17" s="4" t="s">
        <v>1</v>
      </c>
      <c r="CE17" s="1" t="s">
        <v>20</v>
      </c>
      <c r="CF17" s="3" t="s">
        <v>15</v>
      </c>
      <c r="CG17" s="4" t="s">
        <v>131</v>
      </c>
      <c r="CH17" s="4" t="s">
        <v>132</v>
      </c>
      <c r="CI17" s="4" t="s">
        <v>130</v>
      </c>
      <c r="CJ17" s="4" t="s">
        <v>1</v>
      </c>
      <c r="CL17" s="1" t="s">
        <v>20</v>
      </c>
      <c r="CM17" s="3" t="s">
        <v>15</v>
      </c>
      <c r="CN17" s="4" t="s">
        <v>131</v>
      </c>
      <c r="CO17" s="4" t="s">
        <v>132</v>
      </c>
      <c r="CP17" s="4" t="s">
        <v>130</v>
      </c>
      <c r="CQ17" s="4" t="s">
        <v>1</v>
      </c>
      <c r="CR17" s="4" t="s">
        <v>138</v>
      </c>
      <c r="CS17" s="4" t="s">
        <v>139</v>
      </c>
      <c r="CT17" s="4" t="s">
        <v>140</v>
      </c>
      <c r="CV17" s="1" t="s">
        <v>20</v>
      </c>
      <c r="CW17" s="1" t="s">
        <v>15</v>
      </c>
      <c r="CX17" s="4" t="s">
        <v>131</v>
      </c>
      <c r="CY17" s="4" t="s">
        <v>132</v>
      </c>
      <c r="CZ17" s="4" t="s">
        <v>130</v>
      </c>
      <c r="DA17" s="4" t="s">
        <v>1</v>
      </c>
      <c r="DB17" s="4" t="s">
        <v>138</v>
      </c>
      <c r="DC17" s="4" t="s">
        <v>139</v>
      </c>
      <c r="DD17" s="4" t="s">
        <v>140</v>
      </c>
      <c r="DF17" s="1" t="s">
        <v>20</v>
      </c>
      <c r="DG17" s="1" t="s">
        <v>15</v>
      </c>
      <c r="DH17" s="4" t="s">
        <v>131</v>
      </c>
      <c r="DI17" s="4" t="s">
        <v>132</v>
      </c>
      <c r="DJ17" s="4" t="s">
        <v>130</v>
      </c>
      <c r="DK17" s="4" t="s">
        <v>1</v>
      </c>
      <c r="DL17" s="4" t="s">
        <v>138</v>
      </c>
      <c r="DM17" s="4" t="s">
        <v>139</v>
      </c>
      <c r="DN17" s="4" t="s">
        <v>140</v>
      </c>
      <c r="DP17" s="1" t="s">
        <v>20</v>
      </c>
      <c r="DQ17" s="1" t="s">
        <v>15</v>
      </c>
      <c r="DR17" s="4" t="s">
        <v>131</v>
      </c>
      <c r="DS17" s="4" t="s">
        <v>132</v>
      </c>
      <c r="DT17" s="4" t="s">
        <v>130</v>
      </c>
      <c r="DU17" s="4" t="s">
        <v>1</v>
      </c>
      <c r="DV17" s="4" t="s">
        <v>138</v>
      </c>
      <c r="DW17" s="4" t="s">
        <v>139</v>
      </c>
      <c r="DX17" s="4" t="s">
        <v>140</v>
      </c>
      <c r="DZ17" s="1" t="s">
        <v>20</v>
      </c>
      <c r="EA17" s="1" t="s">
        <v>15</v>
      </c>
      <c r="EB17" s="4" t="s">
        <v>131</v>
      </c>
      <c r="EC17" s="4" t="s">
        <v>132</v>
      </c>
      <c r="ED17" s="4" t="s">
        <v>130</v>
      </c>
      <c r="EE17" s="4" t="s">
        <v>1</v>
      </c>
      <c r="EF17" s="4" t="s">
        <v>138</v>
      </c>
      <c r="EG17" s="4" t="s">
        <v>139</v>
      </c>
      <c r="EH17" s="4" t="s">
        <v>140</v>
      </c>
      <c r="EJ17" s="1" t="s">
        <v>20</v>
      </c>
      <c r="EK17" s="1" t="s">
        <v>15</v>
      </c>
      <c r="EL17" s="4" t="s">
        <v>131</v>
      </c>
      <c r="EM17" s="4" t="s">
        <v>132</v>
      </c>
      <c r="EN17" s="4" t="s">
        <v>130</v>
      </c>
      <c r="EO17" s="4" t="s">
        <v>1</v>
      </c>
      <c r="EP17" s="4" t="s">
        <v>138</v>
      </c>
      <c r="EQ17" s="4" t="s">
        <v>139</v>
      </c>
      <c r="ER17" s="4" t="s">
        <v>140</v>
      </c>
      <c r="ET17" s="1" t="s">
        <v>20</v>
      </c>
      <c r="EU17" s="4" t="s">
        <v>3</v>
      </c>
      <c r="EV17" s="4" t="s">
        <v>4</v>
      </c>
      <c r="EW17" s="4" t="s">
        <v>5</v>
      </c>
      <c r="EX17" s="4" t="s">
        <v>6</v>
      </c>
      <c r="EY17" s="4" t="s">
        <v>7</v>
      </c>
      <c r="EZ17" s="4" t="s">
        <v>14</v>
      </c>
      <c r="FA17" s="4" t="s">
        <v>84</v>
      </c>
      <c r="FB17" s="4" t="s">
        <v>15</v>
      </c>
      <c r="FE17" s="69">
        <f t="shared" si="14"/>
        <v>37906.25</v>
      </c>
      <c r="FF17" s="67"/>
      <c r="FG17" s="69">
        <f>FH17</f>
        <v>37906.833333333336</v>
      </c>
      <c r="FH17" s="69">
        <v>37906.833333333336</v>
      </c>
      <c r="FI17" s="69">
        <f t="shared" si="2"/>
        <v>37906.91666666667</v>
      </c>
      <c r="FJ17" s="69">
        <f t="shared" si="9"/>
        <v>37906.5</v>
      </c>
      <c r="FK17" s="69">
        <f t="shared" si="9"/>
        <v>37906.5</v>
      </c>
      <c r="FL17" s="69">
        <f t="shared" si="10"/>
        <v>37906.458333333336</v>
      </c>
      <c r="FM17" s="69">
        <f t="shared" si="11"/>
        <v>37906.25</v>
      </c>
      <c r="FN17" s="69">
        <f t="shared" si="12"/>
        <v>37906.125</v>
      </c>
      <c r="FO17" s="69">
        <f t="shared" si="13"/>
        <v>37906.208333333336</v>
      </c>
      <c r="FP17" s="67"/>
      <c r="FQ17" s="34" t="str">
        <f>FM10</f>
        <v>USA ET</v>
      </c>
      <c r="FT17" t="str">
        <f>TEXT(RWC2003!D17,"")&amp;" vs "&amp;TEXT(RWC2003!K17,"")</f>
        <v>Scotland vs Japan</v>
      </c>
      <c r="FU17">
        <v>7</v>
      </c>
      <c r="FV17"/>
      <c r="FW17" t="s">
        <v>116</v>
      </c>
      <c r="FX17">
        <v>14</v>
      </c>
    </row>
    <row r="18" spans="2:180" ht="13.5" customHeight="1" thickBot="1">
      <c r="B18" s="1">
        <v>8</v>
      </c>
      <c r="C18" s="88">
        <f t="shared" si="3"/>
        <v>37906.33333333333</v>
      </c>
      <c r="D18" s="46" t="s">
        <v>36</v>
      </c>
      <c r="E18" s="46"/>
      <c r="F18" s="66">
        <v>12</v>
      </c>
      <c r="G18" s="74">
        <v>84</v>
      </c>
      <c r="H18" s="74">
        <v>6</v>
      </c>
      <c r="I18" s="47">
        <v>0</v>
      </c>
      <c r="J18" s="48"/>
      <c r="K18" s="49" t="s">
        <v>79</v>
      </c>
      <c r="L18" s="50" t="s">
        <v>13</v>
      </c>
      <c r="M18" s="51" t="s">
        <v>43</v>
      </c>
      <c r="N18" s="1" t="s">
        <v>44</v>
      </c>
      <c r="P18" s="77" t="str">
        <f aca="true" t="shared" si="15" ref="P18:V22">ET18</f>
        <v>France</v>
      </c>
      <c r="Q18" s="78">
        <f t="shared" si="15"/>
        <v>4</v>
      </c>
      <c r="R18" s="78">
        <f t="shared" si="15"/>
        <v>4</v>
      </c>
      <c r="S18" s="78">
        <f t="shared" si="15"/>
        <v>0</v>
      </c>
      <c r="T18" s="78">
        <f t="shared" si="15"/>
        <v>0</v>
      </c>
      <c r="U18" s="78">
        <f t="shared" si="15"/>
        <v>204</v>
      </c>
      <c r="V18" s="78">
        <f t="shared" si="15"/>
        <v>70</v>
      </c>
      <c r="W18" s="78">
        <f aca="true" t="shared" si="16" ref="W18:X22">FA18</f>
        <v>4</v>
      </c>
      <c r="X18" s="79">
        <f t="shared" si="16"/>
        <v>20</v>
      </c>
      <c r="Y18" s="4"/>
      <c r="Z18" s="4"/>
      <c r="AA18" s="1" t="str">
        <f t="shared" si="4"/>
        <v>England</v>
      </c>
      <c r="AB18" s="1" t="str">
        <f t="shared" si="5"/>
        <v>Georgia</v>
      </c>
      <c r="AC18" s="1">
        <f t="shared" si="6"/>
      </c>
      <c r="AD18" s="1" t="str">
        <f t="shared" si="7"/>
        <v>England</v>
      </c>
      <c r="AE18" s="1">
        <f t="shared" si="8"/>
      </c>
      <c r="AG18" s="20" t="s">
        <v>70</v>
      </c>
      <c r="AH18" s="4">
        <f>COUNT(fij)</f>
        <v>4</v>
      </c>
      <c r="AI18" s="4">
        <f>COUNTIF($AA$11:$AA$50,AG18)</f>
        <v>2</v>
      </c>
      <c r="AJ18" s="4">
        <f>AH18-AI18-AK18</f>
        <v>0</v>
      </c>
      <c r="AK18" s="4">
        <f>COUNTIF($AB$11:$AB$50,AG18)</f>
        <v>2</v>
      </c>
      <c r="AL18" s="4">
        <f>SUM(fij)</f>
        <v>98</v>
      </c>
      <c r="AM18" s="4">
        <f>SUM(fij_a)</f>
        <v>114</v>
      </c>
      <c r="AN18" s="4">
        <f>COUNTIF($AC$11:$AE$50,AG18)</f>
        <v>2</v>
      </c>
      <c r="AO18" s="4">
        <f>AI18*win_pts+AJ18*draw_pts+AK18*loss_pts+AN18</f>
        <v>10</v>
      </c>
      <c r="AQ18" s="1" t="str">
        <f>IF(AO18&gt;=AO19,AG18,AG19)</f>
        <v>France</v>
      </c>
      <c r="AR18" s="1">
        <f>VLOOKUP(AQ18,$AG$18:$AO$22,9,FALSE)</f>
        <v>20</v>
      </c>
      <c r="AS18"/>
      <c r="AT18" s="1" t="str">
        <f>AQ18</f>
        <v>France</v>
      </c>
      <c r="AU18" s="1">
        <f>VLOOKUP(AT18,$AG$18:$AO$22,9,FALSE)</f>
        <v>20</v>
      </c>
      <c r="AW18" s="1" t="str">
        <f>IF(AU18&gt;=AU19,AT18,AT19)</f>
        <v>France</v>
      </c>
      <c r="AX18" s="1">
        <f>VLOOKUP(AW18,$AG$18:$AO$22,9,FALSE)</f>
        <v>20</v>
      </c>
      <c r="AZ18" s="1" t="str">
        <f>AW18</f>
        <v>France</v>
      </c>
      <c r="BA18" s="1">
        <f>VLOOKUP(AZ18,$AG$18:$AO$22,9,FALSE)</f>
        <v>20</v>
      </c>
      <c r="BC18" s="1" t="str">
        <f>IF(BA18&gt;=BA19,AZ18,AZ19)</f>
        <v>France</v>
      </c>
      <c r="BD18" s="1">
        <f>VLOOKUP(BC18,$AG$18:$AO$22,9,FALSE)</f>
        <v>20</v>
      </c>
      <c r="BE18" s="1" t="str">
        <f>TEXT(BC18,"")&amp;" vs "&amp;TEXT(BC19,"")</f>
        <v>France vs Scotland</v>
      </c>
      <c r="BF18" s="1" t="str">
        <f>TEXT(BC19,"")&amp;" vs "&amp;TEXT(BC18,"")</f>
        <v>Scotland vs France</v>
      </c>
      <c r="BG18" s="4">
        <f>IF(ISERROR(VLOOKUP(BE18,RWC2003!$FW$11:$FX$50,2,FALSE)),VLOOKUP(BF18,RWC2003!$FW$11:$FX$50,2,FALSE),VLOOKUP(BE18,RWC2003!$FW$11:$FX$50,2,FALSE))</f>
        <v>28</v>
      </c>
      <c r="BH18" s="4" t="str">
        <f>VLOOKUP(BG18,$B$11:$AA$50,26)</f>
        <v>France</v>
      </c>
      <c r="BJ18" s="1" t="str">
        <f>IF(AND(BD18=BD19,BH18=BC19),BC19,BC18)</f>
        <v>France</v>
      </c>
      <c r="BK18" s="1">
        <f>VLOOKUP(BJ18,$AG$18:$AO$22,9,FALSE)</f>
        <v>20</v>
      </c>
      <c r="BN18" s="4"/>
      <c r="BO18" s="4"/>
      <c r="BQ18" s="1" t="str">
        <f>BJ18</f>
        <v>France</v>
      </c>
      <c r="BR18" s="1">
        <f>VLOOKUP(BQ18,$AG$18:$AO$22,9,FALSE)</f>
        <v>20</v>
      </c>
      <c r="BS18" s="1" t="str">
        <f>TEXT(BQ18,"")&amp;" vs "&amp;TEXT(BQ19,"")</f>
        <v>France vs Scotland</v>
      </c>
      <c r="BT18" s="1" t="str">
        <f>TEXT(BQ19,"")&amp;" vs "&amp;TEXT(BQ18,"")</f>
        <v>Scotland vs France</v>
      </c>
      <c r="BU18" s="4">
        <f>IF(ISERROR(VLOOKUP(BS18,RWC2003!$FW$11:$FX$50,2,FALSE)),VLOOKUP(BT18,RWC2003!$FW$11:$FX$50,2,FALSE),VLOOKUP(BS18,RWC2003!$FW$11:$FX$50,2,FALSE))</f>
        <v>28</v>
      </c>
      <c r="BV18" s="4" t="str">
        <f>VLOOKUP(BU18,$B$11:$AA$50,26)</f>
        <v>France</v>
      </c>
      <c r="BX18" s="1" t="str">
        <f>IF(AND(BR18=BR19,BV18=BQ19),BQ19,BQ18)</f>
        <v>France</v>
      </c>
      <c r="BY18" s="1">
        <f>VLOOKUP(BX18,$AG$18:$AO$22,9,FALSE)</f>
        <v>20</v>
      </c>
      <c r="CB18" s="4"/>
      <c r="CC18" s="4"/>
      <c r="CE18" s="1" t="str">
        <f>BX18</f>
        <v>France</v>
      </c>
      <c r="CF18" s="1">
        <f>VLOOKUP(CE18,$AG$18:$AO$22,9,FALSE)</f>
        <v>20</v>
      </c>
      <c r="CG18" s="1" t="str">
        <f>TEXT(CE18,"")&amp;" vs "&amp;TEXT(CE19,"")</f>
        <v>France vs Scotland</v>
      </c>
      <c r="CH18" s="1" t="str">
        <f>TEXT(CE19,"")&amp;" vs "&amp;TEXT(CE18,"")</f>
        <v>Scotland vs France</v>
      </c>
      <c r="CI18" s="4">
        <f>IF(ISERROR(VLOOKUP(CG18,RWC2003!$FW$11:$FX$50,2,FALSE)),VLOOKUP(CH18,RWC2003!$FW$11:$FX$50,2,FALSE),VLOOKUP(CG18,RWC2003!$FW$11:$FX$50,2,FALSE))</f>
        <v>28</v>
      </c>
      <c r="CJ18" s="4" t="str">
        <f>VLOOKUP(CI18,$B$11:$AA$50,26)</f>
        <v>France</v>
      </c>
      <c r="CL18" s="1" t="str">
        <f>IF(AND(CF18=CF19,CJ18=CE19),CE19,CE18)</f>
        <v>France</v>
      </c>
      <c r="CM18" s="1">
        <f>VLOOKUP(CL18,$AG$18:$AO$22,9,FALSE)</f>
        <v>20</v>
      </c>
      <c r="CN18" s="1" t="str">
        <f>TEXT(CL18,"")&amp;" vs "&amp;TEXT(CL19,"")</f>
        <v>France vs Scotland</v>
      </c>
      <c r="CO18" s="1" t="str">
        <f>TEXT(CL19,"")&amp;" vs "&amp;TEXT(CL18,"")</f>
        <v>Scotland vs France</v>
      </c>
      <c r="CP18" s="4">
        <f>IF(ISERROR(VLOOKUP(CN18,RWC2003!$FW$11:$FX$50,2,FALSE)),VLOOKUP(CO18,RWC2003!$FW$11:$FX$50,2,FALSE),VLOOKUP(CN18,RWC2003!$FW$11:$FX$50,2,FALSE))</f>
        <v>28</v>
      </c>
      <c r="CQ18" s="4" t="str">
        <f>VLOOKUP(CP18,$B$11:$AA$50,26)</f>
        <v>France</v>
      </c>
      <c r="CR18" s="4">
        <f>VLOOKUP(CL18,$AG$18:$AO$22,6,FALSE)</f>
        <v>204</v>
      </c>
      <c r="CS18" s="4">
        <f>VLOOKUP(CL18,$AG$18:$AO$22,7,FALSE)</f>
        <v>70</v>
      </c>
      <c r="CT18" s="4">
        <f>CR18-CS18</f>
        <v>134</v>
      </c>
      <c r="CV18" s="1" t="str">
        <f>IF(AND(CM18=CM19,OR(CQ18="draw",CQ18="")),IF(CT18&gt;=CT19,CL18,CL19),CL18)</f>
        <v>France</v>
      </c>
      <c r="CW18" s="1">
        <f>VLOOKUP(CV18,$AG$18:$AO$22,9,FALSE)</f>
        <v>20</v>
      </c>
      <c r="CX18" s="1" t="str">
        <f>TEXT(CV18,"")&amp;" vs "&amp;TEXT(CV19,"")</f>
        <v>France vs Scotland</v>
      </c>
      <c r="CY18" s="1" t="str">
        <f>TEXT(CV19,"")&amp;" vs "&amp;TEXT(CV18,"")</f>
        <v>Scotland vs France</v>
      </c>
      <c r="CZ18" s="4">
        <f>IF(ISERROR(VLOOKUP(CX18,RWC2003!$FW$11:$FX$50,2,FALSE)),VLOOKUP(CY18,RWC2003!$FW$11:$FX$50,2,FALSE),VLOOKUP(CX18,RWC2003!$FW$11:$FX$50,2,FALSE))</f>
        <v>28</v>
      </c>
      <c r="DA18" s="4" t="str">
        <f>VLOOKUP(CZ18,$B$11:$AA$50,26)</f>
        <v>France</v>
      </c>
      <c r="DB18" s="4">
        <f>VLOOKUP(CV18,$AG$18:$AO$22,6,FALSE)</f>
        <v>204</v>
      </c>
      <c r="DC18" s="4">
        <f>VLOOKUP(CV18,$AG$18:$AO$22,7,FALSE)</f>
        <v>70</v>
      </c>
      <c r="DD18" s="4">
        <f>DB18-DC18</f>
        <v>134</v>
      </c>
      <c r="DF18" s="1" t="str">
        <f>CV18</f>
        <v>France</v>
      </c>
      <c r="DG18" s="1">
        <f>VLOOKUP(DF18,$AG$18:$AO$22,9,FALSE)</f>
        <v>20</v>
      </c>
      <c r="DH18" s="1" t="str">
        <f>TEXT(DF18,"")&amp;" vs "&amp;TEXT(DF19,"")</f>
        <v>France vs Scotland</v>
      </c>
      <c r="DI18" s="1" t="str">
        <f>TEXT(DF19,"")&amp;" vs "&amp;TEXT(DF18,"")</f>
        <v>Scotland vs France</v>
      </c>
      <c r="DJ18" s="4">
        <f>IF(ISERROR(VLOOKUP(DH18,RWC2003!$FW$11:$FX$50,2,FALSE)),VLOOKUP(DI18,RWC2003!$FW$11:$FX$50,2,FALSE),VLOOKUP(DH18,RWC2003!$FW$11:$FX$50,2,FALSE))</f>
        <v>28</v>
      </c>
      <c r="DK18" s="4" t="str">
        <f>VLOOKUP(DJ18,$B$11:$AA$50,26)</f>
        <v>France</v>
      </c>
      <c r="DL18" s="4">
        <f>VLOOKUP(DF18,$AG$18:$AO$22,6,FALSE)</f>
        <v>204</v>
      </c>
      <c r="DM18" s="4">
        <f>VLOOKUP(DF18,$AG$18:$AO$22,7,FALSE)</f>
        <v>70</v>
      </c>
      <c r="DN18" s="4">
        <f>DL18-DM18</f>
        <v>134</v>
      </c>
      <c r="DP18" s="1" t="str">
        <f>IF(AND(DG18=DG19,OR(DK18="draw",DK18="")),IF(DN18&gt;=DN19,DF18,DF19),DF18)</f>
        <v>France</v>
      </c>
      <c r="DQ18" s="1">
        <f>VLOOKUP(DP18,$AG$18:$AO$22,9,FALSE)</f>
        <v>20</v>
      </c>
      <c r="DR18" s="1" t="str">
        <f>TEXT(DP18,"")&amp;" vs "&amp;TEXT(DP19,"")</f>
        <v>France vs Scotland</v>
      </c>
      <c r="DS18" s="1" t="str">
        <f>TEXT(DP19,"")&amp;" vs "&amp;TEXT(DP18,"")</f>
        <v>Scotland vs France</v>
      </c>
      <c r="DT18" s="4">
        <f>IF(ISERROR(VLOOKUP(DR18,RWC2003!$FW$11:$FX$50,2,FALSE)),VLOOKUP(DS18,RWC2003!$FW$11:$FX$50,2,FALSE),VLOOKUP(DR18,RWC2003!$FW$11:$FX$50,2,FALSE))</f>
        <v>28</v>
      </c>
      <c r="DU18" s="4" t="str">
        <f>VLOOKUP(DT18,$B$11:$AA$50,26)</f>
        <v>France</v>
      </c>
      <c r="DV18" s="4">
        <f>VLOOKUP(DP18,$AG$18:$AO$22,6,FALSE)</f>
        <v>204</v>
      </c>
      <c r="DW18" s="4">
        <f>VLOOKUP(DP18,$AG$18:$AO$22,7,FALSE)</f>
        <v>70</v>
      </c>
      <c r="DX18" s="4">
        <f>DV18-DW18</f>
        <v>134</v>
      </c>
      <c r="DZ18" s="1" t="str">
        <f>DP18</f>
        <v>France</v>
      </c>
      <c r="EA18" s="1">
        <f>VLOOKUP(DZ18,$AG$18:$AO$22,9,FALSE)</f>
        <v>20</v>
      </c>
      <c r="EB18" s="1" t="str">
        <f>TEXT(DZ18,"")&amp;" vs "&amp;TEXT(DZ19,"")</f>
        <v>France vs Scotland</v>
      </c>
      <c r="EC18" s="1" t="str">
        <f>TEXT(DZ19,"")&amp;" vs "&amp;TEXT(DZ18,"")</f>
        <v>Scotland vs France</v>
      </c>
      <c r="ED18" s="4">
        <f>IF(ISERROR(VLOOKUP(EB18,RWC2003!$FW$11:$FX$50,2,FALSE)),VLOOKUP(EC18,RWC2003!$FW$11:$FX$50,2,FALSE),VLOOKUP(EB18,RWC2003!$FW$11:$FX$50,2,FALSE))</f>
        <v>28</v>
      </c>
      <c r="EE18" s="4" t="str">
        <f>VLOOKUP(ED18,$B$11:$AA$50,26)</f>
        <v>France</v>
      </c>
      <c r="EF18" s="4">
        <f>VLOOKUP(DZ18,$AG$18:$AO$22,6,FALSE)</f>
        <v>204</v>
      </c>
      <c r="EG18" s="4">
        <f>VLOOKUP(DZ18,$AG$18:$AO$22,7,FALSE)</f>
        <v>70</v>
      </c>
      <c r="EH18" s="4">
        <f>EF18-EG18</f>
        <v>134</v>
      </c>
      <c r="EJ18" s="1" t="str">
        <f>IF(AND(EA18=EA19,OR(EE18="draw",EE18="")),IF(EH18&gt;=EH19,DZ18,DZ19),DZ18)</f>
        <v>France</v>
      </c>
      <c r="EK18" s="1">
        <f>VLOOKUP(EJ18,$AG$18:$AO$22,9,FALSE)</f>
        <v>20</v>
      </c>
      <c r="EL18" s="1" t="str">
        <f>TEXT(EJ18,"")&amp;" vs "&amp;TEXT(EJ19,"")</f>
        <v>France vs Scotland</v>
      </c>
      <c r="EM18" s="1" t="str">
        <f>TEXT(EJ19,"")&amp;" vs "&amp;TEXT(EJ18,"")</f>
        <v>Scotland vs France</v>
      </c>
      <c r="EN18" s="4">
        <f>IF(ISERROR(VLOOKUP(EL18,RWC2003!$FW$11:$FX$50,2,FALSE)),VLOOKUP(EM18,RWC2003!$FW$11:$FX$50,2,FALSE),VLOOKUP(EL18,RWC2003!$FW$11:$FX$50,2,FALSE))</f>
        <v>28</v>
      </c>
      <c r="EO18" s="4" t="str">
        <f>VLOOKUP(EN18,$B$11:$AA$50,26)</f>
        <v>France</v>
      </c>
      <c r="EP18" s="4">
        <f>VLOOKUP(EJ18,$AG$18:$AO$22,6,FALSE)</f>
        <v>204</v>
      </c>
      <c r="EQ18" s="4">
        <f>VLOOKUP(EJ18,$AG$18:$AO$22,7,FALSE)</f>
        <v>70</v>
      </c>
      <c r="ER18" s="4">
        <f>EP18-EQ18</f>
        <v>134</v>
      </c>
      <c r="ET18" s="1" t="str">
        <f>EJ18</f>
        <v>France</v>
      </c>
      <c r="EU18" s="4">
        <f>VLOOKUP($ET18,$AG$18:$AP$22,2,FALSE)</f>
        <v>4</v>
      </c>
      <c r="EV18" s="4">
        <f>VLOOKUP($ET18,$AG$18:$AP$22,3,FALSE)</f>
        <v>4</v>
      </c>
      <c r="EW18" s="4">
        <f>VLOOKUP($ET18,$AG$18:$AP$22,4,FALSE)</f>
        <v>0</v>
      </c>
      <c r="EX18" s="4">
        <f>VLOOKUP($ET18,$AG$18:$AP$22,5,FALSE)</f>
        <v>0</v>
      </c>
      <c r="EY18" s="4">
        <f>VLOOKUP($ET18,$AG$18:$AP$22,6,FALSE)</f>
        <v>204</v>
      </c>
      <c r="EZ18" s="4">
        <f>VLOOKUP($ET18,$AG$18:$AP$22,7,FALSE)</f>
        <v>70</v>
      </c>
      <c r="FA18" s="4">
        <f>VLOOKUP($ET18,$AG$18:$AP$22,8,FALSE)</f>
        <v>4</v>
      </c>
      <c r="FB18" s="4">
        <f>VLOOKUP($ET18,$AG$18:$AP$22,9,FALSE)</f>
        <v>20</v>
      </c>
      <c r="FE18" s="69">
        <f t="shared" si="14"/>
        <v>37906.33333333333</v>
      </c>
      <c r="FF18" s="67"/>
      <c r="FG18" s="69">
        <f>FH18-(2/24)</f>
        <v>37906.83333333333</v>
      </c>
      <c r="FH18" s="69">
        <v>37906.916666666664</v>
      </c>
      <c r="FI18" s="69">
        <f t="shared" si="2"/>
        <v>37907</v>
      </c>
      <c r="FJ18" s="69">
        <f t="shared" si="9"/>
        <v>37906.58333333333</v>
      </c>
      <c r="FK18" s="69">
        <f t="shared" si="9"/>
        <v>37906.58333333333</v>
      </c>
      <c r="FL18" s="69">
        <f t="shared" si="10"/>
        <v>37906.541666666664</v>
      </c>
      <c r="FM18" s="69">
        <f t="shared" si="11"/>
        <v>37906.33333333333</v>
      </c>
      <c r="FN18" s="69">
        <f t="shared" si="12"/>
        <v>37906.20833333333</v>
      </c>
      <c r="FO18" s="69">
        <f t="shared" si="13"/>
        <v>37906.291666666664</v>
      </c>
      <c r="FP18" s="67"/>
      <c r="FQ18" s="34" t="str">
        <f>FN10</f>
        <v>USA PT</v>
      </c>
      <c r="FT18" t="str">
        <f>TEXT(RWC2003!D18,"")&amp;" vs "&amp;TEXT(RWC2003!K18,"")</f>
        <v>England vs Georgia</v>
      </c>
      <c r="FU18">
        <v>8</v>
      </c>
      <c r="FV18"/>
      <c r="FW18" t="s">
        <v>97</v>
      </c>
      <c r="FX18">
        <v>33</v>
      </c>
    </row>
    <row r="19" spans="2:180" ht="13.5" customHeight="1" thickBot="1">
      <c r="B19" s="1">
        <v>9</v>
      </c>
      <c r="C19" s="88">
        <f t="shared" si="3"/>
        <v>37908.229166666664</v>
      </c>
      <c r="D19" s="46" t="s">
        <v>34</v>
      </c>
      <c r="E19" s="46"/>
      <c r="F19" s="66">
        <v>10</v>
      </c>
      <c r="G19" s="74">
        <v>67</v>
      </c>
      <c r="H19" s="74">
        <v>14</v>
      </c>
      <c r="I19" s="47">
        <v>2</v>
      </c>
      <c r="J19" s="48"/>
      <c r="K19" s="49" t="s">
        <v>77</v>
      </c>
      <c r="L19" s="50" t="s">
        <v>10</v>
      </c>
      <c r="M19" s="51" t="s">
        <v>42</v>
      </c>
      <c r="N19" s="1" t="s">
        <v>82</v>
      </c>
      <c r="P19" s="77" t="str">
        <f t="shared" si="15"/>
        <v>Scotland</v>
      </c>
      <c r="Q19" s="78">
        <f t="shared" si="15"/>
        <v>4</v>
      </c>
      <c r="R19" s="78">
        <f t="shared" si="15"/>
        <v>3</v>
      </c>
      <c r="S19" s="78">
        <f t="shared" si="15"/>
        <v>0</v>
      </c>
      <c r="T19" s="78">
        <f t="shared" si="15"/>
        <v>1</v>
      </c>
      <c r="U19" s="78">
        <f t="shared" si="15"/>
        <v>102</v>
      </c>
      <c r="V19" s="78">
        <f t="shared" si="15"/>
        <v>97</v>
      </c>
      <c r="W19" s="78">
        <f t="shared" si="16"/>
        <v>2</v>
      </c>
      <c r="X19" s="79">
        <f t="shared" si="16"/>
        <v>14</v>
      </c>
      <c r="Y19" s="4"/>
      <c r="Z19" s="4"/>
      <c r="AA19" s="1" t="str">
        <f t="shared" si="4"/>
        <v>Argentina</v>
      </c>
      <c r="AB19" s="1" t="str">
        <f t="shared" si="5"/>
        <v>Namibia</v>
      </c>
      <c r="AC19" s="1">
        <f t="shared" si="6"/>
      </c>
      <c r="AD19" s="1" t="str">
        <f t="shared" si="7"/>
        <v>Argentina</v>
      </c>
      <c r="AE19" s="1">
        <f t="shared" si="8"/>
      </c>
      <c r="AG19" s="20" t="s">
        <v>9</v>
      </c>
      <c r="AH19" s="4">
        <f>COUNT(fra)</f>
        <v>4</v>
      </c>
      <c r="AI19" s="4">
        <f>COUNTIF($AA$11:$AA$50,AG19)</f>
        <v>4</v>
      </c>
      <c r="AJ19" s="4">
        <f>AH19-AI19-AK19</f>
        <v>0</v>
      </c>
      <c r="AK19" s="4">
        <f>COUNTIF($AB$11:$AB$50,AG19)</f>
        <v>0</v>
      </c>
      <c r="AL19" s="4">
        <f>SUM(fra)</f>
        <v>204</v>
      </c>
      <c r="AM19" s="4">
        <f>SUM(fra_a)</f>
        <v>70</v>
      </c>
      <c r="AN19" s="4">
        <f>COUNTIF($AC$11:$AE$50,AG19)</f>
        <v>4</v>
      </c>
      <c r="AO19" s="4">
        <f>AI19*win_pts+AJ19*draw_pts+AK19*loss_pts+AN19</f>
        <v>20</v>
      </c>
      <c r="AQ19" s="1" t="str">
        <f>IF(AO19&lt;=AO18,AG19,AG18)</f>
        <v>Fiji</v>
      </c>
      <c r="AR19" s="1">
        <f>VLOOKUP(AQ19,$AG$18:$AO$22,9,FALSE)</f>
        <v>10</v>
      </c>
      <c r="AS19"/>
      <c r="AT19" s="1" t="str">
        <f>IF(AR19&gt;=AR20,AQ19,AQ20)</f>
        <v>Scotland</v>
      </c>
      <c r="AU19" s="1">
        <f>VLOOKUP(AT19,$AG$18:$AO$22,9,FALSE)</f>
        <v>14</v>
      </c>
      <c r="AW19" s="1" t="str">
        <f>IF(AU19&lt;=AU18,AT19,AT18)</f>
        <v>Scotland</v>
      </c>
      <c r="AX19" s="1">
        <f>VLOOKUP(AW19,$AG$18:$AO$22,9,FALSE)</f>
        <v>14</v>
      </c>
      <c r="AZ19" s="1" t="str">
        <f>IF(AX19&gt;=AX20,AW19,AW20)</f>
        <v>Scotland</v>
      </c>
      <c r="BA19" s="1">
        <f>VLOOKUP(AZ19,$AG$18:$AO$22,9,FALSE)</f>
        <v>14</v>
      </c>
      <c r="BC19" s="1" t="str">
        <f>IF(BA19&lt;=BA18,AZ19,AZ18)</f>
        <v>Scotland</v>
      </c>
      <c r="BD19" s="1">
        <f>VLOOKUP(BC19,$AG$18:$AO$22,9,FALSE)</f>
        <v>14</v>
      </c>
      <c r="BG19" s="4"/>
      <c r="BH19" s="4"/>
      <c r="BJ19" s="1" t="str">
        <f>IF(AND(BD18=BD19,BH18=BC19),BC18,BC19)</f>
        <v>Scotland</v>
      </c>
      <c r="BK19" s="1">
        <f>VLOOKUP(BJ19,$AG$18:$AO$22,9,FALSE)</f>
        <v>14</v>
      </c>
      <c r="BL19" s="1" t="str">
        <f>TEXT(BJ19,"")&amp;" vs "&amp;TEXT(BJ20,"")</f>
        <v>Scotland vs Fiji</v>
      </c>
      <c r="BM19" s="1" t="str">
        <f>TEXT(BJ20,"")&amp;" vs "&amp;TEXT(BJ19,"")</f>
        <v>Fiji vs Scotland</v>
      </c>
      <c r="BN19" s="4">
        <f>IF(ISERROR(VLOOKUP(BL19,RWC2003!$FW$11:$FX$50,2,FALSE)),VLOOKUP(BM19,RWC2003!$FW$11:$FX$50,2,FALSE),VLOOKUP(BL19,RWC2003!$FW$11:$FX$50,2,FALSE))</f>
        <v>36</v>
      </c>
      <c r="BO19" s="4" t="str">
        <f>VLOOKUP(BN19,$B$11:$AA$50,26)</f>
        <v>Scotland</v>
      </c>
      <c r="BQ19" s="1" t="str">
        <f>IF(AND(BK19=BK20,BO19=BJ20),BJ20,BJ19)</f>
        <v>Scotland</v>
      </c>
      <c r="BR19" s="1">
        <f>VLOOKUP(BQ19,$AG$18:$AO$22,9,FALSE)</f>
        <v>14</v>
      </c>
      <c r="BU19" s="4"/>
      <c r="BV19" s="4"/>
      <c r="BX19" s="1" t="str">
        <f>IF(AND(BR18=BR19,BV18=BQ19),BQ18,BQ19)</f>
        <v>Scotland</v>
      </c>
      <c r="BY19" s="1">
        <f>VLOOKUP(BX19,$AG$18:$AO$22,9,FALSE)</f>
        <v>14</v>
      </c>
      <c r="BZ19" s="1" t="str">
        <f>TEXT(BX19,"")&amp;" vs "&amp;TEXT(BX20,"")</f>
        <v>Scotland vs Fiji</v>
      </c>
      <c r="CA19" s="1" t="str">
        <f>TEXT(BX20,"")&amp;" vs "&amp;TEXT(BX19,"")</f>
        <v>Fiji vs Scotland</v>
      </c>
      <c r="CB19" s="4">
        <f>IF(ISERROR(VLOOKUP(BZ19,RWC2003!$FW$11:$FX$50,2,FALSE)),VLOOKUP(CA19,RWC2003!$FW$11:$FX$50,2,FALSE),VLOOKUP(BZ19,RWC2003!$FW$11:$FX$50,2,FALSE))</f>
        <v>36</v>
      </c>
      <c r="CC19" s="4" t="str">
        <f>VLOOKUP(CB19,$B$11:$AA$50,26)</f>
        <v>Scotland</v>
      </c>
      <c r="CE19" s="1" t="str">
        <f>IF(AND(BY19=BY20,CC19=BX20),BX20,BX19)</f>
        <v>Scotland</v>
      </c>
      <c r="CF19" s="1">
        <f>VLOOKUP(CE19,$AG$18:$AO$22,9,FALSE)</f>
        <v>14</v>
      </c>
      <c r="CI19" s="4"/>
      <c r="CJ19" s="4"/>
      <c r="CL19" s="1" t="str">
        <f>IF(AND(CF18=CF19,CJ18=CE19),CE18,CE19)</f>
        <v>Scotland</v>
      </c>
      <c r="CM19" s="1">
        <f>VLOOKUP(CL19,$AG$18:$AO$22,9,FALSE)</f>
        <v>14</v>
      </c>
      <c r="CN19" s="1" t="str">
        <f>TEXT(CL19,"")&amp;" vs "&amp;TEXT(CL20,"")</f>
        <v>Scotland vs Fiji</v>
      </c>
      <c r="CO19" s="1" t="str">
        <f>TEXT(CL20,"")&amp;" vs "&amp;TEXT(CL19,"")</f>
        <v>Fiji vs Scotland</v>
      </c>
      <c r="CP19" s="4">
        <f>IF(ISERROR(VLOOKUP(CN19,RWC2003!$FW$11:$FX$50,2,FALSE)),VLOOKUP(CO19,RWC2003!$FW$11:$FX$50,2,FALSE),VLOOKUP(CN19,RWC2003!$FW$11:$FX$50,2,FALSE))</f>
        <v>36</v>
      </c>
      <c r="CQ19" s="4" t="str">
        <f>VLOOKUP(CP19,$B$11:$AA$50,26)</f>
        <v>Scotland</v>
      </c>
      <c r="CR19" s="4">
        <f>VLOOKUP(CL19,$AG$18:$AO$22,6,FALSE)</f>
        <v>102</v>
      </c>
      <c r="CS19" s="4">
        <f>VLOOKUP(CL19,$AG$18:$AO$22,7,FALSE)</f>
        <v>97</v>
      </c>
      <c r="CT19" s="4">
        <f>CR19-CS19</f>
        <v>5</v>
      </c>
      <c r="CV19" s="1" t="str">
        <f>IF(AND(CM18=CM19,OR(CQ18="draw",CQ18="")),IF(CT18&gt;=CT19,CL19,CL18),CL19)</f>
        <v>Scotland</v>
      </c>
      <c r="CW19" s="1">
        <f>VLOOKUP(CV19,$AG$18:$AO$22,9,FALSE)</f>
        <v>14</v>
      </c>
      <c r="CX19" s="1" t="str">
        <f>TEXT(CV19,"")&amp;" vs "&amp;TEXT(CV20,"")</f>
        <v>Scotland vs Fiji</v>
      </c>
      <c r="CY19" s="1" t="str">
        <f>TEXT(CV20,"")&amp;" vs "&amp;TEXT(CV19,"")</f>
        <v>Fiji vs Scotland</v>
      </c>
      <c r="CZ19" s="4">
        <f>IF(ISERROR(VLOOKUP(CX19,RWC2003!$FW$11:$FX$50,2,FALSE)),VLOOKUP(CY19,RWC2003!$FW$11:$FX$50,2,FALSE),VLOOKUP(CX19,RWC2003!$FW$11:$FX$50,2,FALSE))</f>
        <v>36</v>
      </c>
      <c r="DA19" s="4" t="str">
        <f>VLOOKUP(CZ19,$B$11:$AA$50,26)</f>
        <v>Scotland</v>
      </c>
      <c r="DB19" s="4">
        <f>VLOOKUP(CV19,$AG$18:$AO$22,6,FALSE)</f>
        <v>102</v>
      </c>
      <c r="DC19" s="4">
        <f>VLOOKUP(CV19,$AG$18:$AO$22,7,FALSE)</f>
        <v>97</v>
      </c>
      <c r="DD19" s="4">
        <f>DB19-DC19</f>
        <v>5</v>
      </c>
      <c r="DF19" s="1" t="str">
        <f>IF(AND(CW19=CW20,OR(DA19="draw",DA19="")),IF(DD19&gt;=DD20,CV19,CV20),CV19)</f>
        <v>Scotland</v>
      </c>
      <c r="DG19" s="1">
        <f>VLOOKUP(DF19,$AG$18:$AO$22,9,FALSE)</f>
        <v>14</v>
      </c>
      <c r="DH19" s="1" t="str">
        <f>TEXT(DF19,"")&amp;" vs "&amp;TEXT(DF20,"")</f>
        <v>Scotland vs Fiji</v>
      </c>
      <c r="DI19" s="1" t="str">
        <f>TEXT(DF20,"")&amp;" vs "&amp;TEXT(DF19,"")</f>
        <v>Fiji vs Scotland</v>
      </c>
      <c r="DJ19" s="4">
        <f>IF(ISERROR(VLOOKUP(DH19,RWC2003!$FW$11:$FX$50,2,FALSE)),VLOOKUP(DI19,RWC2003!$FW$11:$FX$50,2,FALSE),VLOOKUP(DH19,RWC2003!$FW$11:$FX$50,2,FALSE))</f>
        <v>36</v>
      </c>
      <c r="DK19" s="4" t="str">
        <f>VLOOKUP(DJ19,$B$11:$AA$50,26)</f>
        <v>Scotland</v>
      </c>
      <c r="DL19" s="4">
        <f>VLOOKUP(DF19,$AG$18:$AO$22,6,FALSE)</f>
        <v>102</v>
      </c>
      <c r="DM19" s="4">
        <f>VLOOKUP(DF19,$AG$18:$AO$22,7,FALSE)</f>
        <v>97</v>
      </c>
      <c r="DN19" s="4">
        <f>DL19-DM19</f>
        <v>5</v>
      </c>
      <c r="DP19" s="1" t="str">
        <f>IF(AND(DG18=DG19,OR(DK18="draw",DK18="")),IF(DN18&gt;=DN19,DF19,DF18),DF19)</f>
        <v>Scotland</v>
      </c>
      <c r="DQ19" s="1">
        <f>VLOOKUP(DP19,$AG$18:$AO$22,9,FALSE)</f>
        <v>14</v>
      </c>
      <c r="DR19" s="1" t="str">
        <f>TEXT(DP19,"")&amp;" vs "&amp;TEXT(DP20,"")</f>
        <v>Scotland vs Fiji</v>
      </c>
      <c r="DS19" s="1" t="str">
        <f>TEXT(DP20,"")&amp;" vs "&amp;TEXT(DP19,"")</f>
        <v>Fiji vs Scotland</v>
      </c>
      <c r="DT19" s="4">
        <f>IF(ISERROR(VLOOKUP(DR19,RWC2003!$FW$11:$FX$50,2,FALSE)),VLOOKUP(DS19,RWC2003!$FW$11:$FX$50,2,FALSE),VLOOKUP(DR19,RWC2003!$FW$11:$FX$50,2,FALSE))</f>
        <v>36</v>
      </c>
      <c r="DU19" s="4" t="str">
        <f>VLOOKUP(DT19,$B$11:$AA$50,26)</f>
        <v>Scotland</v>
      </c>
      <c r="DV19" s="4">
        <f>VLOOKUP(DP19,$AG$18:$AO$22,6,FALSE)</f>
        <v>102</v>
      </c>
      <c r="DW19" s="4">
        <f>VLOOKUP(DP19,$AG$18:$AO$22,7,FALSE)</f>
        <v>97</v>
      </c>
      <c r="DX19" s="4">
        <f>DV19-DW19</f>
        <v>5</v>
      </c>
      <c r="DZ19" s="1" t="str">
        <f>IF(AND(DQ19=DQ20,OR(DU19="draw",DU19="")),IF(DX19&gt;=DX20,DP19,DP20),DP19)</f>
        <v>Scotland</v>
      </c>
      <c r="EA19" s="1">
        <f>VLOOKUP(DZ19,$AG$18:$AO$22,9,FALSE)</f>
        <v>14</v>
      </c>
      <c r="EB19" s="1" t="str">
        <f>TEXT(DZ19,"")&amp;" vs "&amp;TEXT(DZ20,"")</f>
        <v>Scotland vs Fiji</v>
      </c>
      <c r="EC19" s="1" t="str">
        <f>TEXT(DZ20,"")&amp;" vs "&amp;TEXT(DZ19,"")</f>
        <v>Fiji vs Scotland</v>
      </c>
      <c r="ED19" s="4">
        <f>IF(ISERROR(VLOOKUP(EB19,RWC2003!$FW$11:$FX$50,2,FALSE)),VLOOKUP(EC19,RWC2003!$FW$11:$FX$50,2,FALSE),VLOOKUP(EB19,RWC2003!$FW$11:$FX$50,2,FALSE))</f>
        <v>36</v>
      </c>
      <c r="EE19" s="4" t="str">
        <f>VLOOKUP(ED19,$B$11:$AA$50,26)</f>
        <v>Scotland</v>
      </c>
      <c r="EF19" s="4">
        <f>VLOOKUP(DZ19,$AG$18:$AO$22,6,FALSE)</f>
        <v>102</v>
      </c>
      <c r="EG19" s="4">
        <f>VLOOKUP(DZ19,$AG$18:$AO$22,7,FALSE)</f>
        <v>97</v>
      </c>
      <c r="EH19" s="4">
        <f>EF19-EG19</f>
        <v>5</v>
      </c>
      <c r="EJ19" s="1" t="str">
        <f>IF(AND(EA18=EA19,OR(EE18="draw",EE18="")),IF(EH18&gt;=EH19,DZ19,DZ18),DZ19)</f>
        <v>Scotland</v>
      </c>
      <c r="EK19" s="1">
        <f>VLOOKUP(EJ19,$AG$18:$AO$22,9,FALSE)</f>
        <v>14</v>
      </c>
      <c r="EL19" s="1" t="str">
        <f>TEXT(EJ19,"")&amp;" vs "&amp;TEXT(EJ20,"")</f>
        <v>Scotland vs Fiji</v>
      </c>
      <c r="EM19" s="1" t="str">
        <f>TEXT(EJ20,"")&amp;" vs "&amp;TEXT(EJ19,"")</f>
        <v>Fiji vs Scotland</v>
      </c>
      <c r="EN19" s="4">
        <f>IF(ISERROR(VLOOKUP(EL19,RWC2003!$FW$11:$FX$50,2,FALSE)),VLOOKUP(EM19,RWC2003!$FW$11:$FX$50,2,FALSE),VLOOKUP(EL19,RWC2003!$FW$11:$FX$50,2,FALSE))</f>
        <v>36</v>
      </c>
      <c r="EO19" s="4" t="str">
        <f>VLOOKUP(EN19,$B$11:$AA$50,26)</f>
        <v>Scotland</v>
      </c>
      <c r="EP19" s="4">
        <f>VLOOKUP(EJ19,$AG$18:$AO$22,6,FALSE)</f>
        <v>102</v>
      </c>
      <c r="EQ19" s="4">
        <f>VLOOKUP(EJ19,$AG$18:$AO$22,7,FALSE)</f>
        <v>97</v>
      </c>
      <c r="ER19" s="4">
        <f>EP19-EQ19</f>
        <v>5</v>
      </c>
      <c r="ET19" s="1" t="str">
        <f>EJ19</f>
        <v>Scotland</v>
      </c>
      <c r="EU19" s="4">
        <f>VLOOKUP($ET19,$AG$18:$AP$22,2,FALSE)</f>
        <v>4</v>
      </c>
      <c r="EV19" s="4">
        <f>VLOOKUP($ET19,$AG$18:$AP$22,3,FALSE)</f>
        <v>3</v>
      </c>
      <c r="EW19" s="4">
        <f>VLOOKUP($ET19,$AG$18:$AP$22,4,FALSE)</f>
        <v>0</v>
      </c>
      <c r="EX19" s="4">
        <f>VLOOKUP($ET19,$AG$18:$AP$22,5,FALSE)</f>
        <v>1</v>
      </c>
      <c r="EY19" s="4">
        <f>VLOOKUP($ET19,$AG$18:$AP$22,6,FALSE)</f>
        <v>102</v>
      </c>
      <c r="EZ19" s="4">
        <f>VLOOKUP($ET19,$AG$18:$AP$22,7,FALSE)</f>
        <v>97</v>
      </c>
      <c r="FA19" s="4">
        <f>VLOOKUP($ET19,$AG$18:$AP$22,8,FALSE)</f>
        <v>2</v>
      </c>
      <c r="FB19" s="4">
        <f>VLOOKUP($ET19,$AG$18:$AP$22,9,FALSE)</f>
        <v>14</v>
      </c>
      <c r="FE19" s="69">
        <f t="shared" si="14"/>
        <v>37908.229166666664</v>
      </c>
      <c r="FF19" s="67"/>
      <c r="FG19" s="69">
        <f>FH19</f>
        <v>37908.8125</v>
      </c>
      <c r="FH19" s="69">
        <v>37908.8125</v>
      </c>
      <c r="FI19" s="69">
        <f t="shared" si="2"/>
        <v>37908.895833333336</v>
      </c>
      <c r="FJ19" s="69">
        <f t="shared" si="9"/>
        <v>37908.479166666664</v>
      </c>
      <c r="FK19" s="69">
        <f t="shared" si="9"/>
        <v>37908.479166666664</v>
      </c>
      <c r="FL19" s="69">
        <f t="shared" si="10"/>
        <v>37908.4375</v>
      </c>
      <c r="FM19" s="69">
        <f t="shared" si="11"/>
        <v>37908.229166666664</v>
      </c>
      <c r="FN19" s="69">
        <f t="shared" si="12"/>
        <v>37908.104166666664</v>
      </c>
      <c r="FO19" s="69">
        <f t="shared" si="13"/>
        <v>37908.1875</v>
      </c>
      <c r="FP19" s="67"/>
      <c r="FQ19" s="86" t="str">
        <f>FO10</f>
        <v>USA CT</v>
      </c>
      <c r="FT19" t="str">
        <f>TEXT(RWC2003!D19,"")&amp;" vs "&amp;TEXT(RWC2003!K19,"")</f>
        <v>Argentina vs Namibia</v>
      </c>
      <c r="FU19">
        <v>9</v>
      </c>
      <c r="FV19"/>
      <c r="FW19" t="s">
        <v>122</v>
      </c>
      <c r="FX19">
        <v>8</v>
      </c>
    </row>
    <row r="20" spans="2:180" ht="13.5" customHeight="1" thickBot="1">
      <c r="B20" s="1">
        <v>10</v>
      </c>
      <c r="C20" s="88">
        <f t="shared" si="3"/>
        <v>37909.125</v>
      </c>
      <c r="D20" s="46" t="s">
        <v>70</v>
      </c>
      <c r="E20" s="46"/>
      <c r="F20" s="66">
        <v>1</v>
      </c>
      <c r="G20" s="74">
        <v>19</v>
      </c>
      <c r="H20" s="74">
        <v>18</v>
      </c>
      <c r="I20" s="47">
        <v>2</v>
      </c>
      <c r="J20" s="48"/>
      <c r="K20" s="49" t="s">
        <v>85</v>
      </c>
      <c r="L20" s="50" t="s">
        <v>12</v>
      </c>
      <c r="M20" s="51" t="s">
        <v>40</v>
      </c>
      <c r="N20" s="1" t="s">
        <v>69</v>
      </c>
      <c r="P20" s="77" t="str">
        <f t="shared" si="15"/>
        <v>Fiji</v>
      </c>
      <c r="Q20" s="78">
        <f t="shared" si="15"/>
        <v>4</v>
      </c>
      <c r="R20" s="78">
        <f t="shared" si="15"/>
        <v>2</v>
      </c>
      <c r="S20" s="78">
        <f t="shared" si="15"/>
        <v>0</v>
      </c>
      <c r="T20" s="78">
        <f t="shared" si="15"/>
        <v>2</v>
      </c>
      <c r="U20" s="78">
        <f t="shared" si="15"/>
        <v>98</v>
      </c>
      <c r="V20" s="78">
        <f t="shared" si="15"/>
        <v>114</v>
      </c>
      <c r="W20" s="78">
        <f t="shared" si="16"/>
        <v>2</v>
      </c>
      <c r="X20" s="79">
        <f t="shared" si="16"/>
        <v>10</v>
      </c>
      <c r="AA20" s="1" t="str">
        <f t="shared" si="4"/>
        <v>Fiji</v>
      </c>
      <c r="AB20" s="1" t="str">
        <f t="shared" si="5"/>
        <v>USA</v>
      </c>
      <c r="AC20" s="1" t="str">
        <f t="shared" si="6"/>
        <v>USA</v>
      </c>
      <c r="AD20" s="1">
        <f t="shared" si="7"/>
      </c>
      <c r="AE20" s="1">
        <f t="shared" si="8"/>
      </c>
      <c r="AG20" s="1" t="s">
        <v>71</v>
      </c>
      <c r="AH20" s="4">
        <f>COUNT(jap)</f>
        <v>4</v>
      </c>
      <c r="AI20" s="4">
        <f>COUNTIF($AA$11:$AA$50,AG20)</f>
        <v>0</v>
      </c>
      <c r="AJ20" s="4">
        <f>AH20-AI20-AK20</f>
        <v>0</v>
      </c>
      <c r="AK20" s="4">
        <f>COUNTIF($AB$11:$AB$50,AG20)</f>
        <v>4</v>
      </c>
      <c r="AL20" s="4">
        <f>SUM(jap)</f>
        <v>79</v>
      </c>
      <c r="AM20" s="4">
        <f>SUM(jap_a)</f>
        <v>163</v>
      </c>
      <c r="AN20" s="4">
        <f>COUNTIF($AC$11:$AE$50,AG20)</f>
        <v>0</v>
      </c>
      <c r="AO20" s="4">
        <f>AI20*win_pts+AJ20*draw_pts+AK20*loss_pts+AN20</f>
        <v>0</v>
      </c>
      <c r="AQ20" s="1" t="str">
        <f>IF(AO20&gt;=AO21,AG20,AG21)</f>
        <v>Scotland</v>
      </c>
      <c r="AR20" s="1">
        <f>VLOOKUP(AQ20,$AG$18:$AO$22,9,FALSE)</f>
        <v>14</v>
      </c>
      <c r="AS20"/>
      <c r="AT20" s="1" t="str">
        <f>IF(AR20&lt;=AR19,AQ20,AQ19)</f>
        <v>Fiji</v>
      </c>
      <c r="AU20" s="1">
        <f>VLOOKUP(AT20,$AG$18:$AO$22,9,FALSE)</f>
        <v>10</v>
      </c>
      <c r="AW20" s="1" t="str">
        <f>IF(AU20&gt;=AU21,AT20,AT21)</f>
        <v>Fiji</v>
      </c>
      <c r="AX20" s="1">
        <f>VLOOKUP(AW20,$AG$18:$AO$22,9,FALSE)</f>
        <v>10</v>
      </c>
      <c r="AZ20" s="1" t="str">
        <f>IF(AX20&lt;=AX19,AW20,AW19)</f>
        <v>Fiji</v>
      </c>
      <c r="BA20" s="1">
        <f>VLOOKUP(AZ20,$AG$18:$AO$22,9,FALSE)</f>
        <v>10</v>
      </c>
      <c r="BC20" s="1" t="str">
        <f>IF(BA20&gt;=BA21,AZ20,AZ21)</f>
        <v>Fiji</v>
      </c>
      <c r="BD20" s="1">
        <f>VLOOKUP(BC20,$AG$18:$AO$22,9,FALSE)</f>
        <v>10</v>
      </c>
      <c r="BE20" s="1" t="str">
        <f>TEXT(BC20,"")&amp;" vs "&amp;TEXT(BC21,"")</f>
        <v>Fiji vs USA</v>
      </c>
      <c r="BF20" s="1" t="str">
        <f>TEXT(BC21,"")&amp;" vs "&amp;TEXT(BC20,"")</f>
        <v>USA vs Fiji</v>
      </c>
      <c r="BG20" s="4">
        <f>IF(ISERROR(VLOOKUP(BE20,RWC2003!$FW$11:$FX$50,2,FALSE)),VLOOKUP(BF20,RWC2003!$FW$11:$FX$50,2,FALSE),VLOOKUP(BE20,RWC2003!$FW$11:$FX$50,2,FALSE))</f>
        <v>10</v>
      </c>
      <c r="BH20" s="4" t="str">
        <f>VLOOKUP(BG20,$B$11:$AA$50,26)</f>
        <v>Fiji</v>
      </c>
      <c r="BJ20" s="1" t="str">
        <f>IF(AND(BD20=BD21,BH20=BC21),BC21,BC20)</f>
        <v>Fiji</v>
      </c>
      <c r="BK20" s="1">
        <f>VLOOKUP(BJ20,$AG$18:$AO$22,9,FALSE)</f>
        <v>10</v>
      </c>
      <c r="BN20" s="4"/>
      <c r="BO20" s="4"/>
      <c r="BQ20" s="1" t="str">
        <f>IF(AND(BK19=BK20,BO19=BJ20),BJ19,BJ20)</f>
        <v>Fiji</v>
      </c>
      <c r="BR20" s="1">
        <f>VLOOKUP(BQ20,$AG$18:$AO$22,9,FALSE)</f>
        <v>10</v>
      </c>
      <c r="BS20" s="1" t="str">
        <f>TEXT(BQ20,"")&amp;" vs "&amp;TEXT(BQ21,"")</f>
        <v>Fiji vs USA</v>
      </c>
      <c r="BT20" s="1" t="str">
        <f>TEXT(BQ21,"")&amp;" vs "&amp;TEXT(BQ20,"")</f>
        <v>USA vs Fiji</v>
      </c>
      <c r="BU20" s="4">
        <f>IF(ISERROR(VLOOKUP(BS20,RWC2003!$FW$11:$FX$50,2,FALSE)),VLOOKUP(BT20,RWC2003!$FW$11:$FX$50,2,FALSE),VLOOKUP(BS20,RWC2003!$FW$11:$FX$50,2,FALSE))</f>
        <v>10</v>
      </c>
      <c r="BV20" s="4" t="str">
        <f>VLOOKUP(BU20,$B$11:$AA$50,26)</f>
        <v>Fiji</v>
      </c>
      <c r="BX20" s="1" t="str">
        <f>IF(AND(BR20=BR21,BV20=BQ21),BQ21,BQ20)</f>
        <v>Fiji</v>
      </c>
      <c r="BY20" s="1">
        <f>VLOOKUP(BX20,$AG$18:$AO$22,9,FALSE)</f>
        <v>10</v>
      </c>
      <c r="CB20" s="4"/>
      <c r="CC20" s="4"/>
      <c r="CE20" s="1" t="str">
        <f>IF(AND(BY19=BY20,CC19=BX20),BX19,BX20)</f>
        <v>Fiji</v>
      </c>
      <c r="CF20" s="1">
        <f>VLOOKUP(CE20,$AG$18:$AO$22,9,FALSE)</f>
        <v>10</v>
      </c>
      <c r="CG20" s="1" t="str">
        <f>TEXT(CE20,"")&amp;" vs "&amp;TEXT(CE21,"")</f>
        <v>Fiji vs USA</v>
      </c>
      <c r="CH20" s="1" t="str">
        <f>TEXT(CE21,"")&amp;" vs "&amp;TEXT(CE20,"")</f>
        <v>USA vs Fiji</v>
      </c>
      <c r="CI20" s="4">
        <f>IF(ISERROR(VLOOKUP(CG20,RWC2003!$FW$11:$FX$50,2,FALSE)),VLOOKUP(CH20,RWC2003!$FW$11:$FX$50,2,FALSE),VLOOKUP(CG20,RWC2003!$FW$11:$FX$50,2,FALSE))</f>
        <v>10</v>
      </c>
      <c r="CJ20" s="4" t="str">
        <f>VLOOKUP(CI20,$B$11:$AA$50,26)</f>
        <v>Fiji</v>
      </c>
      <c r="CL20" s="1" t="str">
        <f>IF(AND(CF20=CF21,CJ20=CE21),CE21,CE20)</f>
        <v>Fiji</v>
      </c>
      <c r="CM20" s="1">
        <f>VLOOKUP(CL20,$AG$18:$AO$22,9,FALSE)</f>
        <v>10</v>
      </c>
      <c r="CN20" s="1" t="str">
        <f>TEXT(CL20,"")&amp;" vs "&amp;TEXT(CL21,"")</f>
        <v>Fiji vs USA</v>
      </c>
      <c r="CO20" s="1" t="str">
        <f>TEXT(CL21,"")&amp;" vs "&amp;TEXT(CL20,"")</f>
        <v>USA vs Fiji</v>
      </c>
      <c r="CP20" s="4">
        <f>IF(ISERROR(VLOOKUP(CN20,RWC2003!$FW$11:$FX$50,2,FALSE)),VLOOKUP(CO20,RWC2003!$FW$11:$FX$50,2,FALSE),VLOOKUP(CN20,RWC2003!$FW$11:$FX$50,2,FALSE))</f>
        <v>10</v>
      </c>
      <c r="CQ20" s="4" t="str">
        <f>VLOOKUP(CP20,$B$11:$AA$50,26)</f>
        <v>Fiji</v>
      </c>
      <c r="CR20" s="4">
        <f>VLOOKUP(CL20,$AG$18:$AO$22,6,FALSE)</f>
        <v>98</v>
      </c>
      <c r="CS20" s="4">
        <f>VLOOKUP(CL20,$AG$18:$AO$22,7,FALSE)</f>
        <v>114</v>
      </c>
      <c r="CT20" s="4">
        <f>CR20-CS20</f>
        <v>-16</v>
      </c>
      <c r="CV20" s="1" t="str">
        <f>IF(AND(CM20=CM21,OR(CQ20="draw",CQ20="")),IF(CT20&gt;=CT21,CL20,CL21),CL20)</f>
        <v>Fiji</v>
      </c>
      <c r="CW20" s="1">
        <f>VLOOKUP(CV20,$AG$18:$AO$22,9,FALSE)</f>
        <v>10</v>
      </c>
      <c r="CX20" s="1" t="str">
        <f>TEXT(CV20,"")&amp;" vs "&amp;TEXT(CV21,"")</f>
        <v>Fiji vs USA</v>
      </c>
      <c r="CY20" s="1" t="str">
        <f>TEXT(CV21,"")&amp;" vs "&amp;TEXT(CV20,"")</f>
        <v>USA vs Fiji</v>
      </c>
      <c r="CZ20" s="4">
        <f>IF(ISERROR(VLOOKUP(CX20,RWC2003!$FW$11:$FX$50,2,FALSE)),VLOOKUP(CY20,RWC2003!$FW$11:$FX$50,2,FALSE),VLOOKUP(CX20,RWC2003!$FW$11:$FX$50,2,FALSE))</f>
        <v>10</v>
      </c>
      <c r="DA20" s="4" t="str">
        <f>VLOOKUP(CZ20,$B$11:$AA$50,26)</f>
        <v>Fiji</v>
      </c>
      <c r="DB20" s="4">
        <f>VLOOKUP(CV20,$AG$18:$AO$22,6,FALSE)</f>
        <v>98</v>
      </c>
      <c r="DC20" s="4">
        <f>VLOOKUP(CV20,$AG$18:$AO$22,7,FALSE)</f>
        <v>114</v>
      </c>
      <c r="DD20" s="4">
        <f>DB20-DC20</f>
        <v>-16</v>
      </c>
      <c r="DF20" s="1" t="str">
        <f>IF(AND(CW19=CW20,OR(DA19="draw",DA19="")),IF(DD19&gt;=DD20,CV20,CV19),CV20)</f>
        <v>Fiji</v>
      </c>
      <c r="DG20" s="1">
        <f>VLOOKUP(DF20,$AG$18:$AO$22,9,FALSE)</f>
        <v>10</v>
      </c>
      <c r="DH20" s="1" t="str">
        <f>TEXT(DF20,"")&amp;" vs "&amp;TEXT(DF21,"")</f>
        <v>Fiji vs USA</v>
      </c>
      <c r="DI20" s="1" t="str">
        <f>TEXT(DF21,"")&amp;" vs "&amp;TEXT(DF20,"")</f>
        <v>USA vs Fiji</v>
      </c>
      <c r="DJ20" s="4">
        <f>IF(ISERROR(VLOOKUP(DH20,RWC2003!$FW$11:$FX$50,2,FALSE)),VLOOKUP(DI20,RWC2003!$FW$11:$FX$50,2,FALSE),VLOOKUP(DH20,RWC2003!$FW$11:$FX$50,2,FALSE))</f>
        <v>10</v>
      </c>
      <c r="DK20" s="4" t="str">
        <f>VLOOKUP(DJ20,$B$11:$AA$50,26)</f>
        <v>Fiji</v>
      </c>
      <c r="DL20" s="4">
        <f>VLOOKUP(DF20,$AG$18:$AO$22,6,FALSE)</f>
        <v>98</v>
      </c>
      <c r="DM20" s="4">
        <f>VLOOKUP(DF20,$AG$18:$AO$22,7,FALSE)</f>
        <v>114</v>
      </c>
      <c r="DN20" s="4">
        <f>DL20-DM20</f>
        <v>-16</v>
      </c>
      <c r="DP20" s="1" t="str">
        <f>IF(AND(DG20=DG21,OR(DK20="draw",DK20="")),IF(DN20&gt;=DN21,DF20,DF21),DF20)</f>
        <v>Fiji</v>
      </c>
      <c r="DQ20" s="1">
        <f>VLOOKUP(DP20,$AG$18:$AO$22,9,FALSE)</f>
        <v>10</v>
      </c>
      <c r="DR20" s="1" t="str">
        <f>TEXT(DP20,"")&amp;" vs "&amp;TEXT(DP21,"")</f>
        <v>Fiji vs USA</v>
      </c>
      <c r="DS20" s="1" t="str">
        <f>TEXT(DP21,"")&amp;" vs "&amp;TEXT(DP20,"")</f>
        <v>USA vs Fiji</v>
      </c>
      <c r="DT20" s="4">
        <f>IF(ISERROR(VLOOKUP(DR20,RWC2003!$FW$11:$FX$50,2,FALSE)),VLOOKUP(DS20,RWC2003!$FW$11:$FX$50,2,FALSE),VLOOKUP(DR20,RWC2003!$FW$11:$FX$50,2,FALSE))</f>
        <v>10</v>
      </c>
      <c r="DU20" s="4" t="str">
        <f>VLOOKUP(DT20,$B$11:$AA$50,26)</f>
        <v>Fiji</v>
      </c>
      <c r="DV20" s="4">
        <f>VLOOKUP(DP20,$AG$18:$AO$22,6,FALSE)</f>
        <v>98</v>
      </c>
      <c r="DW20" s="4">
        <f>VLOOKUP(DP20,$AG$18:$AO$22,7,FALSE)</f>
        <v>114</v>
      </c>
      <c r="DX20" s="4">
        <f>DV20-DW20</f>
        <v>-16</v>
      </c>
      <c r="DZ20" s="1" t="str">
        <f>IF(AND(DQ19=DQ20,OR(DU19="draw",DU19="")),IF(DX19&gt;=DX20,DP20,DP19),DP20)</f>
        <v>Fiji</v>
      </c>
      <c r="EA20" s="1">
        <f>VLOOKUP(DZ20,$AG$18:$AO$22,9,FALSE)</f>
        <v>10</v>
      </c>
      <c r="EB20" s="1" t="str">
        <f>TEXT(DZ20,"")&amp;" vs "&amp;TEXT(DZ21,"")</f>
        <v>Fiji vs USA</v>
      </c>
      <c r="EC20" s="1" t="str">
        <f>TEXT(DZ21,"")&amp;" vs "&amp;TEXT(DZ20,"")</f>
        <v>USA vs Fiji</v>
      </c>
      <c r="ED20" s="4">
        <f>IF(ISERROR(VLOOKUP(EB20,RWC2003!$FW$11:$FX$50,2,FALSE)),VLOOKUP(EC20,RWC2003!$FW$11:$FX$50,2,FALSE),VLOOKUP(EB20,RWC2003!$FW$11:$FX$50,2,FALSE))</f>
        <v>10</v>
      </c>
      <c r="EE20" s="4" t="str">
        <f>VLOOKUP(ED20,$B$11:$AA$50,26)</f>
        <v>Fiji</v>
      </c>
      <c r="EF20" s="4">
        <f>VLOOKUP(DZ20,$AG$18:$AO$22,6,FALSE)</f>
        <v>98</v>
      </c>
      <c r="EG20" s="4">
        <f>VLOOKUP(DZ20,$AG$18:$AO$22,7,FALSE)</f>
        <v>114</v>
      </c>
      <c r="EH20" s="4">
        <f>EF20-EG20</f>
        <v>-16</v>
      </c>
      <c r="EJ20" s="1" t="str">
        <f>IF(AND(EA20=EA21,OR(EE20="draw",EE20="")),IF(EH20&gt;=EH21,DZ20,DZ21),DZ20)</f>
        <v>Fiji</v>
      </c>
      <c r="EK20" s="1">
        <f>VLOOKUP(EJ20,$AG$18:$AO$22,9,FALSE)</f>
        <v>10</v>
      </c>
      <c r="EL20" s="1" t="str">
        <f>TEXT(EJ20,"")&amp;" vs "&amp;TEXT(EJ21,"")</f>
        <v>Fiji vs USA</v>
      </c>
      <c r="EM20" s="1" t="str">
        <f>TEXT(EJ21,"")&amp;" vs "&amp;TEXT(EJ20,"")</f>
        <v>USA vs Fiji</v>
      </c>
      <c r="EN20" s="4">
        <f>IF(ISERROR(VLOOKUP(EL20,RWC2003!$FW$11:$FX$50,2,FALSE)),VLOOKUP(EM20,RWC2003!$FW$11:$FX$50,2,FALSE),VLOOKUP(EL20,RWC2003!$FW$11:$FX$50,2,FALSE))</f>
        <v>10</v>
      </c>
      <c r="EO20" s="4" t="str">
        <f>VLOOKUP(EN20,$B$11:$AA$50,26)</f>
        <v>Fiji</v>
      </c>
      <c r="EP20" s="4">
        <f>VLOOKUP(EJ20,$AG$18:$AO$22,6,FALSE)</f>
        <v>98</v>
      </c>
      <c r="EQ20" s="4">
        <f>VLOOKUP(EJ20,$AG$18:$AO$22,7,FALSE)</f>
        <v>114</v>
      </c>
      <c r="ER20" s="4">
        <f>EP20-EQ20</f>
        <v>-16</v>
      </c>
      <c r="ET20" s="1" t="str">
        <f>EJ20</f>
        <v>Fiji</v>
      </c>
      <c r="EU20" s="4">
        <f>VLOOKUP($ET20,$AG$18:$AP$22,2,FALSE)</f>
        <v>4</v>
      </c>
      <c r="EV20" s="4">
        <f>VLOOKUP($ET20,$AG$18:$AP$22,3,FALSE)</f>
        <v>2</v>
      </c>
      <c r="EW20" s="4">
        <f>VLOOKUP($ET20,$AG$18:$AP$22,4,FALSE)</f>
        <v>0</v>
      </c>
      <c r="EX20" s="4">
        <f>VLOOKUP($ET20,$AG$18:$AP$22,5,FALSE)</f>
        <v>2</v>
      </c>
      <c r="EY20" s="4">
        <f>VLOOKUP($ET20,$AG$18:$AP$22,6,FALSE)</f>
        <v>98</v>
      </c>
      <c r="EZ20" s="4">
        <f>VLOOKUP($ET20,$AG$18:$AP$22,7,FALSE)</f>
        <v>114</v>
      </c>
      <c r="FA20" s="4">
        <f>VLOOKUP($ET20,$AG$18:$AP$22,8,FALSE)</f>
        <v>2</v>
      </c>
      <c r="FB20" s="4">
        <f>VLOOKUP($ET20,$AG$18:$AP$22,9,FALSE)</f>
        <v>10</v>
      </c>
      <c r="FE20" s="69">
        <f t="shared" si="14"/>
        <v>37909.125</v>
      </c>
      <c r="FF20" s="67"/>
      <c r="FG20" s="69">
        <f>FH20</f>
        <v>37909.708333333336</v>
      </c>
      <c r="FH20" s="69">
        <v>37909.708333333336</v>
      </c>
      <c r="FI20" s="69">
        <f t="shared" si="2"/>
        <v>37909.79166666667</v>
      </c>
      <c r="FJ20" s="69">
        <f t="shared" si="9"/>
        <v>37909.375</v>
      </c>
      <c r="FK20" s="69">
        <f t="shared" si="9"/>
        <v>37909.375</v>
      </c>
      <c r="FL20" s="69">
        <f t="shared" si="10"/>
        <v>37909.333333333336</v>
      </c>
      <c r="FM20" s="69">
        <f t="shared" si="11"/>
        <v>37909.125</v>
      </c>
      <c r="FN20" s="69">
        <f t="shared" si="12"/>
        <v>37909</v>
      </c>
      <c r="FO20" s="69">
        <f t="shared" si="13"/>
        <v>37909.083333333336</v>
      </c>
      <c r="FP20" s="67"/>
      <c r="FT20" t="str">
        <f>TEXT(RWC2003!D20,"")&amp;" vs "&amp;TEXT(RWC2003!K20,"")</f>
        <v>Fiji vs USA</v>
      </c>
      <c r="FU20">
        <v>10</v>
      </c>
      <c r="FV20"/>
      <c r="FW20" t="s">
        <v>100</v>
      </c>
      <c r="FX20">
        <v>30</v>
      </c>
    </row>
    <row r="21" spans="2:180" ht="13.5" customHeight="1" thickBot="1">
      <c r="B21" s="1">
        <v>11</v>
      </c>
      <c r="C21" s="88">
        <f t="shared" si="3"/>
        <v>37909.229166666664</v>
      </c>
      <c r="D21" s="46" t="s">
        <v>76</v>
      </c>
      <c r="E21" s="46"/>
      <c r="F21" s="66">
        <v>3</v>
      </c>
      <c r="G21" s="74">
        <v>36</v>
      </c>
      <c r="H21" s="74">
        <v>12</v>
      </c>
      <c r="I21" s="47">
        <v>2</v>
      </c>
      <c r="J21" s="48"/>
      <c r="K21" s="49" t="s">
        <v>80</v>
      </c>
      <c r="L21" s="50" t="s">
        <v>5</v>
      </c>
      <c r="M21" s="51" t="s">
        <v>47</v>
      </c>
      <c r="N21" s="1" t="s">
        <v>48</v>
      </c>
      <c r="P21" s="77" t="str">
        <f t="shared" si="15"/>
        <v>USA</v>
      </c>
      <c r="Q21" s="78">
        <f t="shared" si="15"/>
        <v>4</v>
      </c>
      <c r="R21" s="78">
        <f t="shared" si="15"/>
        <v>1</v>
      </c>
      <c r="S21" s="78">
        <f t="shared" si="15"/>
        <v>0</v>
      </c>
      <c r="T21" s="78">
        <f t="shared" si="15"/>
        <v>3</v>
      </c>
      <c r="U21" s="78">
        <f t="shared" si="15"/>
        <v>86</v>
      </c>
      <c r="V21" s="78">
        <f t="shared" si="15"/>
        <v>125</v>
      </c>
      <c r="W21" s="78">
        <f t="shared" si="16"/>
        <v>2</v>
      </c>
      <c r="X21" s="79">
        <f t="shared" si="16"/>
        <v>6</v>
      </c>
      <c r="AA21" s="1" t="str">
        <f t="shared" si="4"/>
        <v>Italy</v>
      </c>
      <c r="AB21" s="1" t="str">
        <f t="shared" si="5"/>
        <v>Tonga</v>
      </c>
      <c r="AC21" s="1">
        <f t="shared" si="6"/>
      </c>
      <c r="AD21" s="1">
        <f t="shared" si="7"/>
      </c>
      <c r="AE21" s="1">
        <f t="shared" si="8"/>
      </c>
      <c r="AG21" s="20" t="s">
        <v>35</v>
      </c>
      <c r="AH21" s="4">
        <f>COUNT(sco)</f>
        <v>4</v>
      </c>
      <c r="AI21" s="4">
        <f>COUNTIF($AA$11:$AA$50,AG21)</f>
        <v>3</v>
      </c>
      <c r="AJ21" s="4">
        <f>AH21-AI21-AK21</f>
        <v>0</v>
      </c>
      <c r="AK21" s="4">
        <f>COUNTIF($AB$11:$AB$50,AG21)</f>
        <v>1</v>
      </c>
      <c r="AL21" s="4">
        <f>SUM(sco)</f>
        <v>102</v>
      </c>
      <c r="AM21" s="4">
        <f>SUM(sco_a)</f>
        <v>97</v>
      </c>
      <c r="AN21" s="4">
        <f>COUNTIF($AC$11:$AE$50,AG21)</f>
        <v>2</v>
      </c>
      <c r="AO21" s="4">
        <f>AI21*win_pts+AJ21*draw_pts+AK21*loss_pts+AN21</f>
        <v>14</v>
      </c>
      <c r="AQ21" s="1" t="str">
        <f>IF(AO21&lt;=AO20,AG21,AG20)</f>
        <v>Japan</v>
      </c>
      <c r="AR21" s="1">
        <f>VLOOKUP(AQ21,$AG$18:$AO$22,9,FALSE)</f>
        <v>0</v>
      </c>
      <c r="AS21"/>
      <c r="AT21" s="1" t="str">
        <f>IF(AR21&gt;=AR22,AQ21,AQ22)</f>
        <v>USA</v>
      </c>
      <c r="AU21" s="1">
        <f>VLOOKUP(AT21,$AG$18:$AO$22,9,FALSE)</f>
        <v>6</v>
      </c>
      <c r="AW21" s="1" t="str">
        <f>IF(AU21&lt;=AU20,AT21,AT20)</f>
        <v>USA</v>
      </c>
      <c r="AX21" s="1">
        <f>VLOOKUP(AW21,$AG$18:$AO$22,9,FALSE)</f>
        <v>6</v>
      </c>
      <c r="AZ21" s="1" t="str">
        <f>IF(AX21&gt;=AX22,AW21,AW22)</f>
        <v>USA</v>
      </c>
      <c r="BA21" s="1">
        <f>VLOOKUP(AZ21,$AG$18:$AO$22,9,FALSE)</f>
        <v>6</v>
      </c>
      <c r="BC21" s="1" t="str">
        <f>IF(BA21&lt;=BA20,AZ21,AZ20)</f>
        <v>USA</v>
      </c>
      <c r="BD21" s="1">
        <f>VLOOKUP(BC21,$AG$18:$AO$22,9,FALSE)</f>
        <v>6</v>
      </c>
      <c r="BG21" s="4"/>
      <c r="BH21" s="4"/>
      <c r="BJ21" s="1" t="str">
        <f>IF(AND(BD20=BD21,BH20=BC21),BC20,BC21)</f>
        <v>USA</v>
      </c>
      <c r="BK21" s="1">
        <f>VLOOKUP(BJ21,$AG$18:$AO$22,9,FALSE)</f>
        <v>6</v>
      </c>
      <c r="BL21" s="1" t="str">
        <f>TEXT(BJ21,"")&amp;" vs "&amp;TEXT(BJ22,"")</f>
        <v>USA vs Japan</v>
      </c>
      <c r="BM21" s="1" t="str">
        <f>TEXT(BJ22,"")&amp;" vs "&amp;TEXT(BJ21,"")</f>
        <v>Japan vs USA</v>
      </c>
      <c r="BN21" s="4">
        <f>IF(ISERROR(VLOOKUP(BL21,RWC2003!$FW$11:$FX$50,2,FALSE)),VLOOKUP(BM21,RWC2003!$FW$11:$FX$50,2,FALSE),VLOOKUP(BL21,RWC2003!$FW$11:$FX$50,2,FALSE))</f>
        <v>31</v>
      </c>
      <c r="BO21" s="4" t="str">
        <f>VLOOKUP(BN21,$B$11:$AA$50,26)</f>
        <v>USA</v>
      </c>
      <c r="BQ21" s="1" t="str">
        <f>IF(AND(BK21=BK22,BO21=BJ22),BJ22,BJ21)</f>
        <v>USA</v>
      </c>
      <c r="BR21" s="1">
        <f>VLOOKUP(BQ21,$AG$18:$AO$22,9,FALSE)</f>
        <v>6</v>
      </c>
      <c r="BU21" s="4"/>
      <c r="BV21" s="4"/>
      <c r="BX21" s="1" t="str">
        <f>IF(AND(BR20=BR21,BV20=BQ21),BQ20,BQ21)</f>
        <v>USA</v>
      </c>
      <c r="BY21" s="1">
        <f>VLOOKUP(BX21,$AG$18:$AO$22,9,FALSE)</f>
        <v>6</v>
      </c>
      <c r="BZ21" s="1" t="str">
        <f>TEXT(BX21,"")&amp;" vs "&amp;TEXT(BX22,"")</f>
        <v>USA vs Japan</v>
      </c>
      <c r="CA21" s="1" t="str">
        <f>TEXT(BX22,"")&amp;" vs "&amp;TEXT(BX21,"")</f>
        <v>Japan vs USA</v>
      </c>
      <c r="CB21" s="4">
        <f>IF(ISERROR(VLOOKUP(BZ21,RWC2003!$FW$11:$FX$50,2,FALSE)),VLOOKUP(CA21,RWC2003!$FW$11:$FX$50,2,FALSE),VLOOKUP(BZ21,RWC2003!$FW$11:$FX$50,2,FALSE))</f>
        <v>31</v>
      </c>
      <c r="CC21" s="4" t="str">
        <f>VLOOKUP(CB21,$B$11:$AA$50,26)</f>
        <v>USA</v>
      </c>
      <c r="CE21" s="1" t="str">
        <f>IF(AND(BY21=BY22,CC21=BX22),BX22,BX21)</f>
        <v>USA</v>
      </c>
      <c r="CF21" s="1">
        <f>VLOOKUP(CE21,$AG$18:$AO$22,9,FALSE)</f>
        <v>6</v>
      </c>
      <c r="CI21" s="4"/>
      <c r="CJ21" s="4"/>
      <c r="CL21" s="1" t="str">
        <f>IF(AND(CF20=CF21,CJ20=CE21),CE20,CE21)</f>
        <v>USA</v>
      </c>
      <c r="CM21" s="1">
        <f>VLOOKUP(CL21,$AG$18:$AO$22,9,FALSE)</f>
        <v>6</v>
      </c>
      <c r="CN21" s="1" t="str">
        <f>TEXT(CL21,"")&amp;" vs "&amp;TEXT(CL22,"")</f>
        <v>USA vs Japan</v>
      </c>
      <c r="CO21" s="1" t="str">
        <f>TEXT(CL22,"")&amp;" vs "&amp;TEXT(CL21,"")</f>
        <v>Japan vs USA</v>
      </c>
      <c r="CP21" s="4">
        <f>IF(ISERROR(VLOOKUP(CN21,RWC2003!$FW$11:$FX$50,2,FALSE)),VLOOKUP(CO21,RWC2003!$FW$11:$FX$50,2,FALSE),VLOOKUP(CN21,RWC2003!$FW$11:$FX$50,2,FALSE))</f>
        <v>31</v>
      </c>
      <c r="CQ21" s="4" t="str">
        <f>VLOOKUP(CP21,$B$11:$AA$50,26)</f>
        <v>USA</v>
      </c>
      <c r="CR21" s="4">
        <f>VLOOKUP(CL21,$AG$18:$AO$22,6,FALSE)</f>
        <v>86</v>
      </c>
      <c r="CS21" s="4">
        <f>VLOOKUP(CL21,$AG$18:$AO$22,7,FALSE)</f>
        <v>125</v>
      </c>
      <c r="CT21" s="4">
        <f>CR21-CS21</f>
        <v>-39</v>
      </c>
      <c r="CV21" s="1" t="str">
        <f>IF(AND(CM20=CM21,OR(CQ20="draw",CQ20="")),IF(CT20&gt;=CT21,CL21,CL20),CL21)</f>
        <v>USA</v>
      </c>
      <c r="CW21" s="1">
        <f>VLOOKUP(CV21,$AG$18:$AO$22,9,FALSE)</f>
        <v>6</v>
      </c>
      <c r="CX21" s="1" t="str">
        <f>TEXT(CV21,"")&amp;" vs "&amp;TEXT(CV22,"")</f>
        <v>USA vs Japan</v>
      </c>
      <c r="CY21" s="1" t="str">
        <f>TEXT(CV22,"")&amp;" vs "&amp;TEXT(CV21,"")</f>
        <v>Japan vs USA</v>
      </c>
      <c r="CZ21" s="4">
        <f>IF(ISERROR(VLOOKUP(CX21,RWC2003!$FW$11:$FX$50,2,FALSE)),VLOOKUP(CY21,RWC2003!$FW$11:$FX$50,2,FALSE),VLOOKUP(CX21,RWC2003!$FW$11:$FX$50,2,FALSE))</f>
        <v>31</v>
      </c>
      <c r="DA21" s="4" t="str">
        <f>VLOOKUP(CZ21,$B$11:$AA$50,26)</f>
        <v>USA</v>
      </c>
      <c r="DB21" s="4">
        <f>VLOOKUP(CV21,$AG$18:$AO$22,6,FALSE)</f>
        <v>86</v>
      </c>
      <c r="DC21" s="4">
        <f>VLOOKUP(CV21,$AG$18:$AO$22,7,FALSE)</f>
        <v>125</v>
      </c>
      <c r="DD21" s="4">
        <f>DB21-DC21</f>
        <v>-39</v>
      </c>
      <c r="DF21" s="1" t="str">
        <f>IF(AND(CW21=CW22,OR(DA21="draw",DA21="")),IF(DD21&gt;=DD22,CV21,CV22),CV21)</f>
        <v>USA</v>
      </c>
      <c r="DG21" s="1">
        <f>VLOOKUP(DF21,$AG$18:$AO$22,9,FALSE)</f>
        <v>6</v>
      </c>
      <c r="DH21" s="1" t="str">
        <f>TEXT(DF21,"")&amp;" vs "&amp;TEXT(DF22,"")</f>
        <v>USA vs Japan</v>
      </c>
      <c r="DI21" s="1" t="str">
        <f>TEXT(DF22,"")&amp;" vs "&amp;TEXT(DF21,"")</f>
        <v>Japan vs USA</v>
      </c>
      <c r="DJ21" s="4">
        <f>IF(ISERROR(VLOOKUP(DH21,RWC2003!$FW$11:$FX$50,2,FALSE)),VLOOKUP(DI21,RWC2003!$FW$11:$FX$50,2,FALSE),VLOOKUP(DH21,RWC2003!$FW$11:$FX$50,2,FALSE))</f>
        <v>31</v>
      </c>
      <c r="DK21" s="4" t="str">
        <f>VLOOKUP(DJ21,$B$11:$AA$50,26)</f>
        <v>USA</v>
      </c>
      <c r="DL21" s="4">
        <f>VLOOKUP(DF21,$AG$18:$AO$22,6,FALSE)</f>
        <v>86</v>
      </c>
      <c r="DM21" s="4">
        <f>VLOOKUP(DF21,$AG$18:$AO$22,7,FALSE)</f>
        <v>125</v>
      </c>
      <c r="DN21" s="4">
        <f>DL21-DM21</f>
        <v>-39</v>
      </c>
      <c r="DP21" s="1" t="str">
        <f>IF(AND(DG20=DG21,OR(DK20="draw",DK20="")),IF(DN20&gt;=DN21,DF21,DF20),DF21)</f>
        <v>USA</v>
      </c>
      <c r="DQ21" s="1">
        <f>VLOOKUP(DP21,$AG$18:$AO$22,9,FALSE)</f>
        <v>6</v>
      </c>
      <c r="DR21" s="1" t="str">
        <f>TEXT(DP21,"")&amp;" vs "&amp;TEXT(DP22,"")</f>
        <v>USA vs Japan</v>
      </c>
      <c r="DS21" s="1" t="str">
        <f>TEXT(DP22,"")&amp;" vs "&amp;TEXT(DP21,"")</f>
        <v>Japan vs USA</v>
      </c>
      <c r="DT21" s="4">
        <f>IF(ISERROR(VLOOKUP(DR21,RWC2003!$FW$11:$FX$50,2,FALSE)),VLOOKUP(DS21,RWC2003!$FW$11:$FX$50,2,FALSE),VLOOKUP(DR21,RWC2003!$FW$11:$FX$50,2,FALSE))</f>
        <v>31</v>
      </c>
      <c r="DU21" s="4" t="str">
        <f>VLOOKUP(DT21,$B$11:$AA$50,26)</f>
        <v>USA</v>
      </c>
      <c r="DV21" s="4">
        <f>VLOOKUP(DP21,$AG$18:$AO$22,6,FALSE)</f>
        <v>86</v>
      </c>
      <c r="DW21" s="4">
        <f>VLOOKUP(DP21,$AG$18:$AO$22,7,FALSE)</f>
        <v>125</v>
      </c>
      <c r="DX21" s="4">
        <f>DV21-DW21</f>
        <v>-39</v>
      </c>
      <c r="DZ21" s="1" t="str">
        <f>IF(AND(DQ21=DQ22,OR(DU21="draw",DU21="")),IF(DX21&gt;=DX22,DP21,DP22),DP21)</f>
        <v>USA</v>
      </c>
      <c r="EA21" s="1">
        <f>VLOOKUP(DZ21,$AG$18:$AO$22,9,FALSE)</f>
        <v>6</v>
      </c>
      <c r="EB21" s="1" t="str">
        <f>TEXT(DZ21,"")&amp;" vs "&amp;TEXT(DZ22,"")</f>
        <v>USA vs Japan</v>
      </c>
      <c r="EC21" s="1" t="str">
        <f>TEXT(DZ22,"")&amp;" vs "&amp;TEXT(DZ21,"")</f>
        <v>Japan vs USA</v>
      </c>
      <c r="ED21" s="4">
        <f>IF(ISERROR(VLOOKUP(EB21,RWC2003!$FW$11:$FX$50,2,FALSE)),VLOOKUP(EC21,RWC2003!$FW$11:$FX$50,2,FALSE),VLOOKUP(EB21,RWC2003!$FW$11:$FX$50,2,FALSE))</f>
        <v>31</v>
      </c>
      <c r="EE21" s="4" t="str">
        <f>VLOOKUP(ED21,$B$11:$AA$50,26)</f>
        <v>USA</v>
      </c>
      <c r="EF21" s="4">
        <f>VLOOKUP(DZ21,$AG$18:$AO$22,6,FALSE)</f>
        <v>86</v>
      </c>
      <c r="EG21" s="4">
        <f>VLOOKUP(DZ21,$AG$18:$AO$22,7,FALSE)</f>
        <v>125</v>
      </c>
      <c r="EH21" s="4">
        <f>EF21-EG21</f>
        <v>-39</v>
      </c>
      <c r="EJ21" s="1" t="str">
        <f>IF(AND(EA20=EA21,OR(EE20="draw",EE20="")),IF(EH20&gt;=EH21,DZ21,DZ20),DZ21)</f>
        <v>USA</v>
      </c>
      <c r="EK21" s="1">
        <f>VLOOKUP(EJ21,$AG$18:$AO$22,9,FALSE)</f>
        <v>6</v>
      </c>
      <c r="EL21" s="1" t="str">
        <f>TEXT(EJ21,"")&amp;" vs "&amp;TEXT(EJ22,"")</f>
        <v>USA vs Japan</v>
      </c>
      <c r="EM21" s="1" t="str">
        <f>TEXT(EJ22,"")&amp;" vs "&amp;TEXT(EJ21,"")</f>
        <v>Japan vs USA</v>
      </c>
      <c r="EN21" s="4">
        <f>IF(ISERROR(VLOOKUP(EL21,RWC2003!$FW$11:$FX$50,2,FALSE)),VLOOKUP(EM21,RWC2003!$FW$11:$FX$50,2,FALSE),VLOOKUP(EL21,RWC2003!$FW$11:$FX$50,2,FALSE))</f>
        <v>31</v>
      </c>
      <c r="EO21" s="4" t="str">
        <f>VLOOKUP(EN21,$B$11:$AA$50,26)</f>
        <v>USA</v>
      </c>
      <c r="EP21" s="4">
        <f>VLOOKUP(EJ21,$AG$18:$AO$22,6,FALSE)</f>
        <v>86</v>
      </c>
      <c r="EQ21" s="4">
        <f>VLOOKUP(EJ21,$AG$18:$AO$22,7,FALSE)</f>
        <v>125</v>
      </c>
      <c r="ER21" s="4">
        <f>EP21-EQ21</f>
        <v>-39</v>
      </c>
      <c r="ET21" s="1" t="str">
        <f>EJ21</f>
        <v>USA</v>
      </c>
      <c r="EU21" s="4">
        <f>VLOOKUP($ET21,$AG$18:$AP$22,2,FALSE)</f>
        <v>4</v>
      </c>
      <c r="EV21" s="4">
        <f>VLOOKUP($ET21,$AG$18:$AP$22,3,FALSE)</f>
        <v>1</v>
      </c>
      <c r="EW21" s="4">
        <f>VLOOKUP($ET21,$AG$18:$AP$22,4,FALSE)</f>
        <v>0</v>
      </c>
      <c r="EX21" s="4">
        <f>VLOOKUP($ET21,$AG$18:$AP$22,5,FALSE)</f>
        <v>3</v>
      </c>
      <c r="EY21" s="4">
        <f>VLOOKUP($ET21,$AG$18:$AP$22,6,FALSE)</f>
        <v>86</v>
      </c>
      <c r="EZ21" s="4">
        <f>VLOOKUP($ET21,$AG$18:$AP$22,7,FALSE)</f>
        <v>125</v>
      </c>
      <c r="FA21" s="4">
        <f>VLOOKUP($ET21,$AG$18:$AP$22,8,FALSE)</f>
        <v>2</v>
      </c>
      <c r="FB21" s="4">
        <f>VLOOKUP($ET21,$AG$18:$AP$22,9,FALSE)</f>
        <v>6</v>
      </c>
      <c r="FE21" s="69">
        <f t="shared" si="14"/>
        <v>37909.229166666664</v>
      </c>
      <c r="FF21" s="67"/>
      <c r="FG21" s="69">
        <f>FH21</f>
        <v>37909.8125</v>
      </c>
      <c r="FH21" s="69">
        <v>37909.8125</v>
      </c>
      <c r="FI21" s="69">
        <f t="shared" si="2"/>
        <v>37909.895833333336</v>
      </c>
      <c r="FJ21" s="69">
        <f t="shared" si="9"/>
        <v>37909.479166666664</v>
      </c>
      <c r="FK21" s="69">
        <f t="shared" si="9"/>
        <v>37909.479166666664</v>
      </c>
      <c r="FL21" s="69">
        <f t="shared" si="10"/>
        <v>37909.4375</v>
      </c>
      <c r="FM21" s="69">
        <f t="shared" si="11"/>
        <v>37909.229166666664</v>
      </c>
      <c r="FN21" s="69">
        <f t="shared" si="12"/>
        <v>37909.104166666664</v>
      </c>
      <c r="FO21" s="69">
        <f t="shared" si="13"/>
        <v>37909.1875</v>
      </c>
      <c r="FP21" s="67"/>
      <c r="FT21" t="str">
        <f>TEXT(RWC2003!D21,"")&amp;" vs "&amp;TEXT(RWC2003!K21,"")</f>
        <v>Italy vs Tonga</v>
      </c>
      <c r="FU21">
        <v>11</v>
      </c>
      <c r="FV21"/>
      <c r="FW21" t="s">
        <v>91</v>
      </c>
      <c r="FX21">
        <v>39</v>
      </c>
    </row>
    <row r="22" spans="2:180" ht="13.5" customHeight="1" thickBot="1">
      <c r="B22" s="1">
        <v>12</v>
      </c>
      <c r="C22" s="88">
        <f t="shared" si="3"/>
        <v>37909.33333333333</v>
      </c>
      <c r="D22" s="46" t="s">
        <v>72</v>
      </c>
      <c r="E22" s="46"/>
      <c r="F22" s="66">
        <v>10</v>
      </c>
      <c r="G22" s="74">
        <v>60</v>
      </c>
      <c r="H22" s="74">
        <v>13</v>
      </c>
      <c r="I22" s="47">
        <v>2</v>
      </c>
      <c r="J22" s="48"/>
      <c r="K22" s="49" t="s">
        <v>73</v>
      </c>
      <c r="L22" s="50" t="s">
        <v>13</v>
      </c>
      <c r="M22" s="51" t="s">
        <v>43</v>
      </c>
      <c r="N22" s="1" t="s">
        <v>44</v>
      </c>
      <c r="P22" s="80" t="str">
        <f t="shared" si="15"/>
        <v>Japan</v>
      </c>
      <c r="Q22" s="81">
        <f t="shared" si="15"/>
        <v>4</v>
      </c>
      <c r="R22" s="81">
        <f t="shared" si="15"/>
        <v>0</v>
      </c>
      <c r="S22" s="81">
        <f t="shared" si="15"/>
        <v>0</v>
      </c>
      <c r="T22" s="81">
        <f t="shared" si="15"/>
        <v>4</v>
      </c>
      <c r="U22" s="81">
        <f t="shared" si="15"/>
        <v>79</v>
      </c>
      <c r="V22" s="81">
        <f t="shared" si="15"/>
        <v>163</v>
      </c>
      <c r="W22" s="81">
        <f t="shared" si="16"/>
        <v>0</v>
      </c>
      <c r="X22" s="82">
        <f t="shared" si="16"/>
        <v>0</v>
      </c>
      <c r="Y22" s="4"/>
      <c r="Z22" s="4"/>
      <c r="AA22" s="1" t="str">
        <f t="shared" si="4"/>
        <v>Samoa</v>
      </c>
      <c r="AB22" s="1" t="str">
        <f t="shared" si="5"/>
        <v>Uruguay</v>
      </c>
      <c r="AC22" s="1">
        <f t="shared" si="6"/>
      </c>
      <c r="AD22" s="1" t="str">
        <f t="shared" si="7"/>
        <v>Samoa</v>
      </c>
      <c r="AE22" s="1">
        <f t="shared" si="8"/>
      </c>
      <c r="AG22" s="1" t="s">
        <v>85</v>
      </c>
      <c r="AH22" s="4">
        <f>COUNT(usa)</f>
        <v>4</v>
      </c>
      <c r="AI22" s="4">
        <f>COUNTIF($AA$11:$AA$50,AG22)</f>
        <v>1</v>
      </c>
      <c r="AJ22" s="4">
        <f>AH22-AI22-AK22</f>
        <v>0</v>
      </c>
      <c r="AK22" s="4">
        <f>COUNTIF($AB$11:$AB$50,AG22)</f>
        <v>3</v>
      </c>
      <c r="AL22" s="4">
        <f>SUM(usa)</f>
        <v>86</v>
      </c>
      <c r="AM22" s="4">
        <f>SUM(usa_a)</f>
        <v>125</v>
      </c>
      <c r="AN22" s="4">
        <f>COUNTIF($AC$11:$AE$50,AG22)</f>
        <v>2</v>
      </c>
      <c r="AO22" s="4">
        <f>AI22*win_pts+AJ22*draw_pts+AK22*loss_pts+AN22</f>
        <v>6</v>
      </c>
      <c r="AQ22" s="1" t="str">
        <f>AG22</f>
        <v>USA</v>
      </c>
      <c r="AR22" s="1">
        <f>VLOOKUP(AQ22,$AG$18:$AO$22,9,FALSE)</f>
        <v>6</v>
      </c>
      <c r="AS22"/>
      <c r="AT22" s="1" t="str">
        <f>IF(AR22&lt;=AR21,AQ22,AQ21)</f>
        <v>Japan</v>
      </c>
      <c r="AU22" s="1">
        <f>VLOOKUP(AT22,$AG$18:$AO$22,9,FALSE)</f>
        <v>0</v>
      </c>
      <c r="AW22" s="1" t="str">
        <f>AT22</f>
        <v>Japan</v>
      </c>
      <c r="AX22" s="1">
        <f>AU22</f>
        <v>0</v>
      </c>
      <c r="AZ22" s="1" t="str">
        <f>IF(AX22&lt;=AX21,AW22,AW21)</f>
        <v>Japan</v>
      </c>
      <c r="BA22" s="1">
        <f>VLOOKUP(AZ22,$AG$18:$AO$22,9,FALSE)</f>
        <v>0</v>
      </c>
      <c r="BC22" s="1" t="str">
        <f>AZ22</f>
        <v>Japan</v>
      </c>
      <c r="BD22" s="1">
        <f>BA22</f>
        <v>0</v>
      </c>
      <c r="BG22" s="4"/>
      <c r="BH22" s="4"/>
      <c r="BJ22" s="1" t="str">
        <f>BC22</f>
        <v>Japan</v>
      </c>
      <c r="BK22" s="1">
        <f>BH22</f>
        <v>0</v>
      </c>
      <c r="BN22" s="4"/>
      <c r="BO22" s="4"/>
      <c r="BQ22" s="1" t="str">
        <f>IF(AND(BK21=BK22,BO21=BJ22),BJ21,BJ22)</f>
        <v>Japan</v>
      </c>
      <c r="BR22" s="1">
        <f>BO22</f>
        <v>0</v>
      </c>
      <c r="BU22" s="4"/>
      <c r="BV22" s="4"/>
      <c r="BX22" s="1" t="str">
        <f>BQ22</f>
        <v>Japan</v>
      </c>
      <c r="BY22" s="1">
        <f>BV22</f>
        <v>0</v>
      </c>
      <c r="CB22" s="4"/>
      <c r="CC22" s="4"/>
      <c r="CE22" s="1" t="str">
        <f>IF(AND(BY21=BY22,CC21=BX22),BX21,BX22)</f>
        <v>Japan</v>
      </c>
      <c r="CF22" s="1">
        <f>CC22</f>
        <v>0</v>
      </c>
      <c r="CI22" s="4"/>
      <c r="CJ22" s="4"/>
      <c r="CL22" s="1" t="str">
        <f>CE22</f>
        <v>Japan</v>
      </c>
      <c r="CM22" s="1">
        <f>CJ22</f>
        <v>0</v>
      </c>
      <c r="CR22" s="4">
        <f>VLOOKUP(CL22,$AG$18:$AO$22,6,FALSE)</f>
        <v>79</v>
      </c>
      <c r="CS22" s="4">
        <f>VLOOKUP(CL22,$AG$18:$AO$22,7,FALSE)</f>
        <v>163</v>
      </c>
      <c r="CT22" s="4">
        <f>CR22-CS22</f>
        <v>-84</v>
      </c>
      <c r="CV22" s="1" t="str">
        <f>CL22</f>
        <v>Japan</v>
      </c>
      <c r="CW22" s="1">
        <f>VLOOKUP(CV22,$AG$18:$AO$22,9,FALSE)</f>
        <v>0</v>
      </c>
      <c r="DB22" s="4">
        <f>VLOOKUP(CV22,$AG$18:$AO$22,6,FALSE)</f>
        <v>79</v>
      </c>
      <c r="DC22" s="4">
        <f>VLOOKUP(CV22,$AG$18:$AO$22,7,FALSE)</f>
        <v>163</v>
      </c>
      <c r="DD22" s="4">
        <f>DB22-DC22</f>
        <v>-84</v>
      </c>
      <c r="DF22" s="1" t="str">
        <f>IF(AND(CW21=CW22,OR(DA21="draw",DA21="")),IF(DD21&gt;=DD22,CV22,CV21),CV22)</f>
        <v>Japan</v>
      </c>
      <c r="DG22" s="1">
        <f>VLOOKUP(DF22,$AG$18:$AO$22,9,FALSE)</f>
        <v>0</v>
      </c>
      <c r="DL22" s="4">
        <f>VLOOKUP(DF22,$AG$18:$AO$22,6,FALSE)</f>
        <v>79</v>
      </c>
      <c r="DM22" s="4">
        <f>VLOOKUP(DF22,$AG$18:$AO$22,7,FALSE)</f>
        <v>163</v>
      </c>
      <c r="DN22" s="4">
        <f>DL22-DM22</f>
        <v>-84</v>
      </c>
      <c r="DP22" s="1" t="str">
        <f>DF22</f>
        <v>Japan</v>
      </c>
      <c r="DQ22" s="1">
        <f>VLOOKUP(DP22,$AG$18:$AO$22,9,FALSE)</f>
        <v>0</v>
      </c>
      <c r="DV22" s="4">
        <f>VLOOKUP(DP22,$AG$18:$AO$22,6,FALSE)</f>
        <v>79</v>
      </c>
      <c r="DW22" s="4">
        <f>VLOOKUP(DP22,$AG$18:$AO$22,7,FALSE)</f>
        <v>163</v>
      </c>
      <c r="DX22" s="4">
        <f>DV22-DW22</f>
        <v>-84</v>
      </c>
      <c r="DZ22" s="1" t="str">
        <f>IF(AND(DQ21=DQ22,OR(DU21="draw",DU21="")),IF(DX21&gt;=DX22,DP22,DP21),DP22)</f>
        <v>Japan</v>
      </c>
      <c r="EA22" s="1">
        <f>VLOOKUP(DZ22,$AG$18:$AO$22,9,FALSE)</f>
        <v>0</v>
      </c>
      <c r="EF22" s="4">
        <f>VLOOKUP(DZ22,$AG$18:$AO$22,6,FALSE)</f>
        <v>79</v>
      </c>
      <c r="EG22" s="4">
        <f>VLOOKUP(DZ22,$AG$18:$AO$22,7,FALSE)</f>
        <v>163</v>
      </c>
      <c r="EH22" s="4">
        <f>EF22-EG22</f>
        <v>-84</v>
      </c>
      <c r="EJ22" s="1" t="str">
        <f>DZ22</f>
        <v>Japan</v>
      </c>
      <c r="EK22" s="1">
        <f>VLOOKUP(EJ22,$AG$18:$AO$22,9,FALSE)</f>
        <v>0</v>
      </c>
      <c r="EP22" s="4">
        <f>VLOOKUP(EJ22,$AG$18:$AO$22,6,FALSE)</f>
        <v>79</v>
      </c>
      <c r="EQ22" s="4">
        <f>VLOOKUP(EJ22,$AG$18:$AO$22,7,FALSE)</f>
        <v>163</v>
      </c>
      <c r="ER22" s="4">
        <f>EP22-EQ22</f>
        <v>-84</v>
      </c>
      <c r="ET22" s="1" t="str">
        <f>EJ22</f>
        <v>Japan</v>
      </c>
      <c r="EU22" s="4">
        <f>VLOOKUP($ET22,$AG$18:$AP$22,2,FALSE)</f>
        <v>4</v>
      </c>
      <c r="EV22" s="4">
        <f>VLOOKUP($ET22,$AG$18:$AP$22,3,FALSE)</f>
        <v>0</v>
      </c>
      <c r="EW22" s="4">
        <f>VLOOKUP($ET22,$AG$18:$AP$22,4,FALSE)</f>
        <v>0</v>
      </c>
      <c r="EX22" s="4">
        <f>VLOOKUP($ET22,$AG$18:$AP$22,5,FALSE)</f>
        <v>4</v>
      </c>
      <c r="EY22" s="4">
        <f>VLOOKUP($ET22,$AG$18:$AP$22,6,FALSE)</f>
        <v>79</v>
      </c>
      <c r="EZ22" s="4">
        <f>VLOOKUP($ET22,$AG$18:$AP$22,7,FALSE)</f>
        <v>163</v>
      </c>
      <c r="FA22" s="4">
        <f>VLOOKUP($ET22,$AG$18:$AP$22,8,FALSE)</f>
        <v>0</v>
      </c>
      <c r="FB22" s="4">
        <f>VLOOKUP($ET22,$AG$18:$AP$22,9,FALSE)</f>
        <v>0</v>
      </c>
      <c r="FE22" s="69">
        <f t="shared" si="14"/>
        <v>37909.33333333333</v>
      </c>
      <c r="FF22" s="67"/>
      <c r="FG22" s="69">
        <f>FH22-(2/24)</f>
        <v>37909.83333333333</v>
      </c>
      <c r="FH22" s="69">
        <v>37909.916666666664</v>
      </c>
      <c r="FI22" s="69">
        <f t="shared" si="2"/>
        <v>37910</v>
      </c>
      <c r="FJ22" s="69">
        <f t="shared" si="9"/>
        <v>37909.58333333333</v>
      </c>
      <c r="FK22" s="69">
        <f t="shared" si="9"/>
        <v>37909.58333333333</v>
      </c>
      <c r="FL22" s="69">
        <f t="shared" si="10"/>
        <v>37909.541666666664</v>
      </c>
      <c r="FM22" s="69">
        <f t="shared" si="11"/>
        <v>37909.33333333333</v>
      </c>
      <c r="FN22" s="69">
        <f t="shared" si="12"/>
        <v>37909.20833333333</v>
      </c>
      <c r="FO22" s="69">
        <f t="shared" si="13"/>
        <v>37909.291666666664</v>
      </c>
      <c r="FP22" s="67"/>
      <c r="FT22" t="str">
        <f>TEXT(RWC2003!D22,"")&amp;" vs "&amp;TEXT(RWC2003!K22,"")</f>
        <v>Samoa vs Uruguay</v>
      </c>
      <c r="FU22">
        <v>12</v>
      </c>
      <c r="FV22"/>
      <c r="FW22" t="s">
        <v>107</v>
      </c>
      <c r="FX22">
        <v>23</v>
      </c>
    </row>
    <row r="23" spans="2:180" ht="13.5" customHeight="1" thickBot="1">
      <c r="B23" s="1">
        <v>13</v>
      </c>
      <c r="C23" s="88">
        <f t="shared" si="3"/>
        <v>37911.229166666664</v>
      </c>
      <c r="D23" s="46" t="s">
        <v>28</v>
      </c>
      <c r="E23" s="46"/>
      <c r="F23" s="66">
        <v>10</v>
      </c>
      <c r="G23" s="74">
        <v>68</v>
      </c>
      <c r="H23" s="74">
        <v>6</v>
      </c>
      <c r="I23" s="47">
        <v>0</v>
      </c>
      <c r="J23" s="48"/>
      <c r="K23" s="49" t="s">
        <v>74</v>
      </c>
      <c r="L23" s="50" t="s">
        <v>5</v>
      </c>
      <c r="M23" s="51" t="s">
        <v>39</v>
      </c>
      <c r="N23" s="1" t="s">
        <v>81</v>
      </c>
      <c r="Y23" s="4"/>
      <c r="Z23" s="4"/>
      <c r="AA23" s="1" t="str">
        <f t="shared" si="4"/>
        <v>New Zealand</v>
      </c>
      <c r="AB23" s="1" t="str">
        <f t="shared" si="5"/>
        <v>Canada</v>
      </c>
      <c r="AC23" s="1">
        <f t="shared" si="6"/>
      </c>
      <c r="AD23" s="1" t="str">
        <f t="shared" si="7"/>
        <v>New Zealand</v>
      </c>
      <c r="AE23" s="1">
        <f t="shared" si="8"/>
      </c>
      <c r="AH23" s="4"/>
      <c r="AI23" s="4"/>
      <c r="AJ23" s="4"/>
      <c r="AK23" s="4"/>
      <c r="AL23" s="4"/>
      <c r="AM23" s="4"/>
      <c r="AN23" s="4"/>
      <c r="AO23" s="4"/>
      <c r="AS23"/>
      <c r="CK23" s="4"/>
      <c r="EU23" s="4"/>
      <c r="EV23" s="4"/>
      <c r="EW23" s="4"/>
      <c r="EX23" s="4"/>
      <c r="EY23" s="4"/>
      <c r="EZ23" s="4"/>
      <c r="FA23" s="4"/>
      <c r="FB23" s="4"/>
      <c r="FE23" s="69">
        <f t="shared" si="14"/>
        <v>37911.229166666664</v>
      </c>
      <c r="FF23" s="67"/>
      <c r="FG23" s="69">
        <f>FH23</f>
        <v>37911.8125</v>
      </c>
      <c r="FH23" s="69">
        <v>37911.8125</v>
      </c>
      <c r="FI23" s="69">
        <f t="shared" si="2"/>
        <v>37911.895833333336</v>
      </c>
      <c r="FJ23" s="69">
        <f t="shared" si="9"/>
        <v>37911.479166666664</v>
      </c>
      <c r="FK23" s="69">
        <f t="shared" si="9"/>
        <v>37911.479166666664</v>
      </c>
      <c r="FL23" s="69">
        <f t="shared" si="10"/>
        <v>37911.4375</v>
      </c>
      <c r="FM23" s="69">
        <f t="shared" si="11"/>
        <v>37911.229166666664</v>
      </c>
      <c r="FN23" s="69">
        <f t="shared" si="12"/>
        <v>37911.104166666664</v>
      </c>
      <c r="FO23" s="69">
        <f t="shared" si="13"/>
        <v>37911.1875</v>
      </c>
      <c r="FP23" s="67"/>
      <c r="FT23" t="str">
        <f>TEXT(RWC2003!D23,"")&amp;" vs "&amp;TEXT(RWC2003!K23,"")</f>
        <v>New Zealand vs Canada</v>
      </c>
      <c r="FU23">
        <v>13</v>
      </c>
      <c r="FV23"/>
      <c r="FW23" t="s">
        <v>120</v>
      </c>
      <c r="FX23">
        <v>10</v>
      </c>
    </row>
    <row r="24" spans="2:180" ht="13.5" customHeight="1" thickBot="1">
      <c r="B24" s="1">
        <v>14</v>
      </c>
      <c r="C24" s="88">
        <f t="shared" si="3"/>
        <v>37912.08333333333</v>
      </c>
      <c r="D24" s="46" t="s">
        <v>24</v>
      </c>
      <c r="E24" s="46"/>
      <c r="F24" s="66">
        <v>13</v>
      </c>
      <c r="G24" s="74">
        <v>90</v>
      </c>
      <c r="H24" s="74">
        <v>8</v>
      </c>
      <c r="I24" s="47">
        <v>1</v>
      </c>
      <c r="J24" s="48"/>
      <c r="K24" s="49" t="s">
        <v>78</v>
      </c>
      <c r="L24" s="50" t="s">
        <v>10</v>
      </c>
      <c r="M24" s="51" t="s">
        <v>40</v>
      </c>
      <c r="N24" s="1" t="s">
        <v>69</v>
      </c>
      <c r="Y24" s="4"/>
      <c r="Z24" s="4"/>
      <c r="AA24" s="1" t="str">
        <f t="shared" si="4"/>
        <v>Australia</v>
      </c>
      <c r="AB24" s="1" t="str">
        <f t="shared" si="5"/>
        <v>Romania</v>
      </c>
      <c r="AC24" s="1">
        <f t="shared" si="6"/>
      </c>
      <c r="AD24" s="1" t="str">
        <f t="shared" si="7"/>
        <v>Australia</v>
      </c>
      <c r="AE24" s="1">
        <f t="shared" si="8"/>
      </c>
      <c r="CK24" s="4"/>
      <c r="FE24" s="69">
        <f t="shared" si="14"/>
        <v>37912.08333333333</v>
      </c>
      <c r="FF24" s="67"/>
      <c r="FG24" s="69">
        <f>FH24</f>
        <v>37912.666666666664</v>
      </c>
      <c r="FH24" s="69">
        <v>37912.666666666664</v>
      </c>
      <c r="FI24" s="69">
        <f t="shared" si="2"/>
        <v>37912.75</v>
      </c>
      <c r="FJ24" s="69">
        <f t="shared" si="9"/>
        <v>37912.33333333333</v>
      </c>
      <c r="FK24" s="69">
        <f t="shared" si="9"/>
        <v>37912.33333333333</v>
      </c>
      <c r="FL24" s="69">
        <f t="shared" si="10"/>
        <v>37912.291666666664</v>
      </c>
      <c r="FM24" s="69">
        <f t="shared" si="11"/>
        <v>37912.08333333333</v>
      </c>
      <c r="FN24" s="69">
        <f t="shared" si="12"/>
        <v>37911.95833333333</v>
      </c>
      <c r="FO24" s="69">
        <f t="shared" si="13"/>
        <v>37912.041666666664</v>
      </c>
      <c r="FP24" s="67"/>
      <c r="FT24" t="str">
        <f>TEXT(RWC2003!D24,"")&amp;" vs "&amp;TEXT(RWC2003!K24,"")</f>
        <v>Australia vs Romania</v>
      </c>
      <c r="FU24">
        <v>14</v>
      </c>
      <c r="FV24"/>
      <c r="FW24" t="s">
        <v>126</v>
      </c>
      <c r="FX24">
        <v>4</v>
      </c>
    </row>
    <row r="25" spans="2:180" ht="13.5" customHeight="1" thickBot="1">
      <c r="B25" s="1">
        <v>15</v>
      </c>
      <c r="C25" s="88">
        <f t="shared" si="3"/>
        <v>37912.20833333333</v>
      </c>
      <c r="D25" s="46" t="s">
        <v>9</v>
      </c>
      <c r="E25" s="46"/>
      <c r="F25" s="66">
        <v>6</v>
      </c>
      <c r="G25" s="74">
        <v>51</v>
      </c>
      <c r="H25" s="74">
        <v>29</v>
      </c>
      <c r="I25" s="47">
        <v>2</v>
      </c>
      <c r="J25" s="48"/>
      <c r="K25" s="49" t="s">
        <v>71</v>
      </c>
      <c r="L25" s="50" t="s">
        <v>12</v>
      </c>
      <c r="M25" s="51" t="s">
        <v>45</v>
      </c>
      <c r="N25" s="1" t="s">
        <v>46</v>
      </c>
      <c r="P25" s="56" t="s">
        <v>58</v>
      </c>
      <c r="Q25" s="18"/>
      <c r="R25" s="18"/>
      <c r="S25" s="18"/>
      <c r="T25" s="18"/>
      <c r="U25" s="18"/>
      <c r="V25" s="18"/>
      <c r="W25" s="18"/>
      <c r="X25" s="19"/>
      <c r="Y25" s="4"/>
      <c r="Z25" s="4"/>
      <c r="AA25" s="1" t="str">
        <f t="shared" si="4"/>
        <v>France</v>
      </c>
      <c r="AB25" s="1" t="str">
        <f t="shared" si="5"/>
        <v>Japan</v>
      </c>
      <c r="AC25" s="1">
        <f t="shared" si="6"/>
      </c>
      <c r="AD25" s="1" t="str">
        <f t="shared" si="7"/>
        <v>France</v>
      </c>
      <c r="AE25" s="1">
        <f t="shared" si="8"/>
      </c>
      <c r="AG25" s="2" t="s">
        <v>58</v>
      </c>
      <c r="FE25" s="69">
        <f t="shared" si="14"/>
        <v>37912.20833333333</v>
      </c>
      <c r="FF25" s="67"/>
      <c r="FG25" s="69">
        <f>FH25</f>
        <v>37912.791666666664</v>
      </c>
      <c r="FH25" s="69">
        <v>37912.791666666664</v>
      </c>
      <c r="FI25" s="69">
        <f t="shared" si="2"/>
        <v>37912.875</v>
      </c>
      <c r="FJ25" s="69">
        <f t="shared" si="9"/>
        <v>37912.45833333333</v>
      </c>
      <c r="FK25" s="69">
        <f t="shared" si="9"/>
        <v>37912.45833333333</v>
      </c>
      <c r="FL25" s="69">
        <f t="shared" si="10"/>
        <v>37912.416666666664</v>
      </c>
      <c r="FM25" s="69">
        <f t="shared" si="11"/>
        <v>37912.20833333333</v>
      </c>
      <c r="FN25" s="69">
        <f t="shared" si="12"/>
        <v>37912.08333333333</v>
      </c>
      <c r="FO25" s="69">
        <f t="shared" si="13"/>
        <v>37912.166666666664</v>
      </c>
      <c r="FP25" s="67"/>
      <c r="FT25" t="str">
        <f>TEXT(RWC2003!D25,"")&amp;" vs "&amp;TEXT(RWC2003!K25,"")</f>
        <v>France vs Japan</v>
      </c>
      <c r="FU25">
        <v>15</v>
      </c>
      <c r="FV25"/>
      <c r="FW25" t="s">
        <v>115</v>
      </c>
      <c r="FX25">
        <v>15</v>
      </c>
    </row>
    <row r="26" spans="2:180" ht="15.75" customHeight="1" thickBot="1">
      <c r="B26" s="1">
        <v>16</v>
      </c>
      <c r="C26" s="88">
        <f t="shared" si="3"/>
        <v>37912.33333333333</v>
      </c>
      <c r="D26" s="46" t="s">
        <v>11</v>
      </c>
      <c r="E26" s="46"/>
      <c r="F26" s="66">
        <v>0</v>
      </c>
      <c r="G26" s="74">
        <v>6</v>
      </c>
      <c r="H26" s="74">
        <v>25</v>
      </c>
      <c r="I26" s="47">
        <v>1</v>
      </c>
      <c r="J26" s="48"/>
      <c r="K26" s="49" t="s">
        <v>36</v>
      </c>
      <c r="L26" s="50" t="s">
        <v>13</v>
      </c>
      <c r="M26" s="51" t="s">
        <v>43</v>
      </c>
      <c r="N26" s="1" t="s">
        <v>44</v>
      </c>
      <c r="P26" s="14"/>
      <c r="Q26" s="24" t="str">
        <f>$Q$8</f>
        <v>P</v>
      </c>
      <c r="R26" s="24" t="str">
        <f>$R$8</f>
        <v>W</v>
      </c>
      <c r="S26" s="24" t="str">
        <f>$S$8</f>
        <v>D</v>
      </c>
      <c r="T26" s="24" t="str">
        <f>$T$8</f>
        <v>L</v>
      </c>
      <c r="U26" s="24" t="str">
        <f>$U$8</f>
        <v>For</v>
      </c>
      <c r="V26" s="24" t="str">
        <f>$V$8</f>
        <v>Agst</v>
      </c>
      <c r="W26" s="24" t="s">
        <v>84</v>
      </c>
      <c r="X26" s="25" t="str">
        <f>$X$8</f>
        <v>Points</v>
      </c>
      <c r="Y26" s="4"/>
      <c r="Z26" s="4"/>
      <c r="AA26" s="1" t="str">
        <f t="shared" si="4"/>
        <v>England</v>
      </c>
      <c r="AB26" s="1" t="str">
        <f t="shared" si="5"/>
        <v>South Africa</v>
      </c>
      <c r="AC26" s="1">
        <f t="shared" si="6"/>
      </c>
      <c r="AD26" s="1">
        <f t="shared" si="7"/>
      </c>
      <c r="AE26" s="1">
        <f t="shared" si="8"/>
      </c>
      <c r="AH26" s="4" t="s">
        <v>3</v>
      </c>
      <c r="AI26" s="4" t="s">
        <v>4</v>
      </c>
      <c r="AJ26" s="4" t="s">
        <v>5</v>
      </c>
      <c r="AK26" s="4" t="s">
        <v>6</v>
      </c>
      <c r="AL26" s="4" t="s">
        <v>7</v>
      </c>
      <c r="AM26" s="4" t="s">
        <v>14</v>
      </c>
      <c r="AN26" s="4" t="s">
        <v>84</v>
      </c>
      <c r="AO26" s="4" t="s">
        <v>15</v>
      </c>
      <c r="AQ26" s="1" t="s">
        <v>20</v>
      </c>
      <c r="AR26" s="3" t="s">
        <v>15</v>
      </c>
      <c r="AS26" s="3"/>
      <c r="AT26" s="1" t="s">
        <v>20</v>
      </c>
      <c r="AU26" s="3" t="s">
        <v>15</v>
      </c>
      <c r="AV26" s="3"/>
      <c r="AW26" s="1" t="s">
        <v>20</v>
      </c>
      <c r="AX26" s="3" t="s">
        <v>15</v>
      </c>
      <c r="AY26" s="3"/>
      <c r="AZ26" s="1" t="s">
        <v>20</v>
      </c>
      <c r="BA26" s="3" t="s">
        <v>15</v>
      </c>
      <c r="BC26" s="1" t="s">
        <v>20</v>
      </c>
      <c r="BD26" s="3" t="s">
        <v>15</v>
      </c>
      <c r="BE26" s="4" t="s">
        <v>131</v>
      </c>
      <c r="BF26" s="4" t="s">
        <v>132</v>
      </c>
      <c r="BG26" s="4" t="s">
        <v>130</v>
      </c>
      <c r="BH26" s="4" t="s">
        <v>1</v>
      </c>
      <c r="BJ26" s="1" t="s">
        <v>20</v>
      </c>
      <c r="BK26" s="3" t="s">
        <v>15</v>
      </c>
      <c r="BL26" s="4" t="s">
        <v>131</v>
      </c>
      <c r="BM26" s="4" t="s">
        <v>132</v>
      </c>
      <c r="BN26" s="4" t="s">
        <v>130</v>
      </c>
      <c r="BO26" s="4" t="s">
        <v>1</v>
      </c>
      <c r="BQ26" s="1" t="s">
        <v>20</v>
      </c>
      <c r="BR26" s="3" t="s">
        <v>15</v>
      </c>
      <c r="BS26" s="4" t="s">
        <v>131</v>
      </c>
      <c r="BT26" s="4" t="s">
        <v>132</v>
      </c>
      <c r="BU26" s="4" t="s">
        <v>130</v>
      </c>
      <c r="BV26" s="4" t="s">
        <v>1</v>
      </c>
      <c r="BX26" s="1" t="s">
        <v>20</v>
      </c>
      <c r="BY26" s="3" t="s">
        <v>15</v>
      </c>
      <c r="BZ26" s="4" t="s">
        <v>131</v>
      </c>
      <c r="CA26" s="4" t="s">
        <v>132</v>
      </c>
      <c r="CB26" s="4" t="s">
        <v>130</v>
      </c>
      <c r="CC26" s="4" t="s">
        <v>1</v>
      </c>
      <c r="CE26" s="1" t="s">
        <v>20</v>
      </c>
      <c r="CF26" s="3" t="s">
        <v>15</v>
      </c>
      <c r="CG26" s="4" t="s">
        <v>131</v>
      </c>
      <c r="CH26" s="4" t="s">
        <v>132</v>
      </c>
      <c r="CI26" s="4" t="s">
        <v>130</v>
      </c>
      <c r="CJ26" s="4" t="s">
        <v>1</v>
      </c>
      <c r="CL26" s="1" t="s">
        <v>20</v>
      </c>
      <c r="CM26" s="3" t="s">
        <v>15</v>
      </c>
      <c r="CN26" s="4" t="s">
        <v>131</v>
      </c>
      <c r="CO26" s="4" t="s">
        <v>132</v>
      </c>
      <c r="CP26" s="4" t="s">
        <v>130</v>
      </c>
      <c r="CQ26" s="4" t="s">
        <v>1</v>
      </c>
      <c r="CR26" s="4" t="s">
        <v>138</v>
      </c>
      <c r="CS26" s="4" t="s">
        <v>139</v>
      </c>
      <c r="CT26" s="4" t="s">
        <v>140</v>
      </c>
      <c r="CV26" s="1" t="s">
        <v>20</v>
      </c>
      <c r="CW26" s="1" t="s">
        <v>15</v>
      </c>
      <c r="CX26" s="4" t="s">
        <v>131</v>
      </c>
      <c r="CY26" s="4" t="s">
        <v>132</v>
      </c>
      <c r="CZ26" s="4" t="s">
        <v>130</v>
      </c>
      <c r="DA26" s="4" t="s">
        <v>1</v>
      </c>
      <c r="DB26" s="4" t="s">
        <v>138</v>
      </c>
      <c r="DC26" s="4" t="s">
        <v>139</v>
      </c>
      <c r="DD26" s="4" t="s">
        <v>140</v>
      </c>
      <c r="DF26" s="1" t="s">
        <v>20</v>
      </c>
      <c r="DG26" s="1" t="s">
        <v>15</v>
      </c>
      <c r="DH26" s="4" t="s">
        <v>131</v>
      </c>
      <c r="DI26" s="4" t="s">
        <v>132</v>
      </c>
      <c r="DJ26" s="4" t="s">
        <v>130</v>
      </c>
      <c r="DK26" s="4" t="s">
        <v>1</v>
      </c>
      <c r="DL26" s="4" t="s">
        <v>138</v>
      </c>
      <c r="DM26" s="4" t="s">
        <v>139</v>
      </c>
      <c r="DN26" s="4" t="s">
        <v>140</v>
      </c>
      <c r="DP26" s="1" t="s">
        <v>20</v>
      </c>
      <c r="DQ26" s="1" t="s">
        <v>15</v>
      </c>
      <c r="DR26" s="4" t="s">
        <v>131</v>
      </c>
      <c r="DS26" s="4" t="s">
        <v>132</v>
      </c>
      <c r="DT26" s="4" t="s">
        <v>130</v>
      </c>
      <c r="DU26" s="4" t="s">
        <v>1</v>
      </c>
      <c r="DV26" s="4" t="s">
        <v>138</v>
      </c>
      <c r="DW26" s="4" t="s">
        <v>139</v>
      </c>
      <c r="DX26" s="4" t="s">
        <v>140</v>
      </c>
      <c r="DZ26" s="1" t="s">
        <v>20</v>
      </c>
      <c r="EA26" s="1" t="s">
        <v>15</v>
      </c>
      <c r="EB26" s="4" t="s">
        <v>131</v>
      </c>
      <c r="EC26" s="4" t="s">
        <v>132</v>
      </c>
      <c r="ED26" s="4" t="s">
        <v>130</v>
      </c>
      <c r="EE26" s="4" t="s">
        <v>1</v>
      </c>
      <c r="EF26" s="4" t="s">
        <v>138</v>
      </c>
      <c r="EG26" s="4" t="s">
        <v>139</v>
      </c>
      <c r="EH26" s="4" t="s">
        <v>140</v>
      </c>
      <c r="EJ26" s="1" t="s">
        <v>20</v>
      </c>
      <c r="EK26" s="1" t="s">
        <v>15</v>
      </c>
      <c r="EL26" s="4" t="s">
        <v>131</v>
      </c>
      <c r="EM26" s="4" t="s">
        <v>132</v>
      </c>
      <c r="EN26" s="4" t="s">
        <v>130</v>
      </c>
      <c r="EO26" s="4" t="s">
        <v>1</v>
      </c>
      <c r="EP26" s="4" t="s">
        <v>138</v>
      </c>
      <c r="EQ26" s="4" t="s">
        <v>139</v>
      </c>
      <c r="ER26" s="4" t="s">
        <v>140</v>
      </c>
      <c r="ET26" s="1" t="s">
        <v>20</v>
      </c>
      <c r="EU26" s="4" t="s">
        <v>3</v>
      </c>
      <c r="EV26" s="4" t="s">
        <v>4</v>
      </c>
      <c r="EW26" s="4" t="s">
        <v>5</v>
      </c>
      <c r="EX26" s="4" t="s">
        <v>6</v>
      </c>
      <c r="EY26" s="4" t="s">
        <v>7</v>
      </c>
      <c r="EZ26" s="4" t="s">
        <v>14</v>
      </c>
      <c r="FA26" s="4" t="s">
        <v>84</v>
      </c>
      <c r="FB26" s="4" t="s">
        <v>15</v>
      </c>
      <c r="FE26" s="69">
        <f t="shared" si="14"/>
        <v>37912.33333333333</v>
      </c>
      <c r="FF26" s="67"/>
      <c r="FG26" s="69">
        <f>FH26-(2/24)</f>
        <v>37912.83333333333</v>
      </c>
      <c r="FH26" s="69">
        <v>37912.916666666664</v>
      </c>
      <c r="FI26" s="69">
        <f t="shared" si="2"/>
        <v>37913</v>
      </c>
      <c r="FJ26" s="69">
        <f t="shared" si="9"/>
        <v>37912.58333333333</v>
      </c>
      <c r="FK26" s="69">
        <f t="shared" si="9"/>
        <v>37912.58333333333</v>
      </c>
      <c r="FL26" s="69">
        <f t="shared" si="10"/>
        <v>37912.541666666664</v>
      </c>
      <c r="FM26" s="69">
        <f t="shared" si="11"/>
        <v>37912.33333333333</v>
      </c>
      <c r="FN26" s="69">
        <f t="shared" si="12"/>
        <v>37912.20833333333</v>
      </c>
      <c r="FO26" s="69">
        <f t="shared" si="13"/>
        <v>37912.291666666664</v>
      </c>
      <c r="FP26" s="67"/>
      <c r="FT26" t="str">
        <f>TEXT(RWC2003!D26,"")&amp;" vs "&amp;TEXT(RWC2003!K26,"")</f>
        <v>South Africa vs England</v>
      </c>
      <c r="FU26">
        <v>16</v>
      </c>
      <c r="FV26"/>
      <c r="FW26" t="s">
        <v>102</v>
      </c>
      <c r="FX26">
        <v>28</v>
      </c>
    </row>
    <row r="27" spans="2:180" ht="13.5" customHeight="1" thickBot="1">
      <c r="B27" s="1">
        <v>17</v>
      </c>
      <c r="C27" s="88">
        <f t="shared" si="3"/>
        <v>37913.166666666664</v>
      </c>
      <c r="D27" s="46" t="s">
        <v>37</v>
      </c>
      <c r="E27" s="46"/>
      <c r="F27" s="66">
        <v>2</v>
      </c>
      <c r="G27" s="74">
        <v>27</v>
      </c>
      <c r="H27" s="74">
        <v>20</v>
      </c>
      <c r="I27" s="47">
        <v>3</v>
      </c>
      <c r="J27" s="48"/>
      <c r="K27" s="49" t="s">
        <v>80</v>
      </c>
      <c r="L27" s="50" t="s">
        <v>5</v>
      </c>
      <c r="M27" s="51" t="s">
        <v>47</v>
      </c>
      <c r="N27" s="1" t="s">
        <v>48</v>
      </c>
      <c r="P27" s="77" t="str">
        <f aca="true" t="shared" si="17" ref="P27:V31">ET27</f>
        <v>England</v>
      </c>
      <c r="Q27" s="78">
        <f t="shared" si="17"/>
        <v>4</v>
      </c>
      <c r="R27" s="78">
        <f t="shared" si="17"/>
        <v>4</v>
      </c>
      <c r="S27" s="78">
        <f t="shared" si="17"/>
        <v>0</v>
      </c>
      <c r="T27" s="78">
        <f t="shared" si="17"/>
        <v>0</v>
      </c>
      <c r="U27" s="78">
        <f t="shared" si="17"/>
        <v>255</v>
      </c>
      <c r="V27" s="78">
        <f t="shared" si="17"/>
        <v>47</v>
      </c>
      <c r="W27" s="78">
        <f aca="true" t="shared" si="18" ref="W27:X31">FA27</f>
        <v>3</v>
      </c>
      <c r="X27" s="79">
        <f t="shared" si="18"/>
        <v>19</v>
      </c>
      <c r="AA27" s="1" t="str">
        <f t="shared" si="4"/>
        <v>Wales</v>
      </c>
      <c r="AB27" s="1" t="str">
        <f t="shared" si="5"/>
        <v>Tonga</v>
      </c>
      <c r="AC27" s="1" t="str">
        <f t="shared" si="6"/>
        <v>Tonga</v>
      </c>
      <c r="AD27" s="1">
        <f t="shared" si="7"/>
      </c>
      <c r="AE27" s="1">
        <f t="shared" si="8"/>
      </c>
      <c r="AG27" s="1" t="s">
        <v>36</v>
      </c>
      <c r="AH27" s="4">
        <f>COUNT(eng)</f>
        <v>4</v>
      </c>
      <c r="AI27" s="4">
        <f>COUNTIF($AA$11:$AA$50,AG27)</f>
        <v>4</v>
      </c>
      <c r="AJ27" s="4">
        <f>AH27-AI27-AK27</f>
        <v>0</v>
      </c>
      <c r="AK27" s="4">
        <f>COUNTIF($AB$11:$AB$50,AG27)</f>
        <v>0</v>
      </c>
      <c r="AL27" s="4">
        <f>SUM(eng)</f>
        <v>255</v>
      </c>
      <c r="AM27" s="4">
        <f>SUM(eng_a)</f>
        <v>47</v>
      </c>
      <c r="AN27" s="4">
        <f>COUNTIF($AC$11:$AE$50,AG27)</f>
        <v>3</v>
      </c>
      <c r="AO27" s="4">
        <f>AI27*win_pts+AJ27*draw_pts+AK27*loss_pts+AN27</f>
        <v>19</v>
      </c>
      <c r="AQ27" s="1" t="str">
        <f>IF(AO27&gt;=AO28,AG27,AG28)</f>
        <v>England</v>
      </c>
      <c r="AR27" s="1">
        <f>VLOOKUP(AQ27,$AG$27:$AO$31,9,FALSE)</f>
        <v>19</v>
      </c>
      <c r="AS27"/>
      <c r="AT27" s="1" t="str">
        <f>AQ27</f>
        <v>England</v>
      </c>
      <c r="AU27" s="1">
        <f>VLOOKUP(AT27,$AG$27:$AO$31,9,FALSE)</f>
        <v>19</v>
      </c>
      <c r="AW27" s="1" t="str">
        <f>IF(AU27&gt;=AU28,AT27,AT28)</f>
        <v>England</v>
      </c>
      <c r="AX27" s="1">
        <f>VLOOKUP(AW27,$AG$27:$AO$31,9,FALSE)</f>
        <v>19</v>
      </c>
      <c r="AZ27" s="1" t="str">
        <f>AW27</f>
        <v>England</v>
      </c>
      <c r="BA27" s="1">
        <f>VLOOKUP(AZ27,$AG$27:$AO$31,9,FALSE)</f>
        <v>19</v>
      </c>
      <c r="BC27" s="1" t="str">
        <f>IF(BA27&gt;=BA28,AZ27,AZ28)</f>
        <v>England</v>
      </c>
      <c r="BD27" s="1">
        <f>VLOOKUP(BC27,$AG$27:$AO$31,9,FALSE)</f>
        <v>19</v>
      </c>
      <c r="BE27" s="1" t="str">
        <f>TEXT(BC27,"")&amp;" vs "&amp;TEXT(BC28,"")</f>
        <v>England vs South Africa</v>
      </c>
      <c r="BF27" s="1" t="str">
        <f>TEXT(BC28,"")&amp;" vs "&amp;TEXT(BC27,"")</f>
        <v>South Africa vs England</v>
      </c>
      <c r="BG27" s="4">
        <f>IF(ISERROR(VLOOKUP(BE27,RWC2003!$FW$11:$FX$50,2,FALSE)),VLOOKUP(BF27,RWC2003!$FW$11:$FX$50,2,FALSE),VLOOKUP(BE27,RWC2003!$FW$11:$FX$50,2,FALSE))</f>
        <v>16</v>
      </c>
      <c r="BH27" s="4" t="str">
        <f>VLOOKUP(BG27,$B$11:$AA$50,26)</f>
        <v>England</v>
      </c>
      <c r="BJ27" s="1" t="str">
        <f>IF(AND(BD27=BD28,BH27=BC28),BC28,BC27)</f>
        <v>England</v>
      </c>
      <c r="BK27" s="1">
        <f>VLOOKUP(BJ27,$AG$27:$AO$31,9,FALSE)</f>
        <v>19</v>
      </c>
      <c r="BN27" s="4"/>
      <c r="BO27" s="4"/>
      <c r="BQ27" s="1" t="str">
        <f>BJ27</f>
        <v>England</v>
      </c>
      <c r="BR27" s="1">
        <f>VLOOKUP(BQ27,$AG$27:$AO$31,9,FALSE)</f>
        <v>19</v>
      </c>
      <c r="BS27" s="1" t="str">
        <f>TEXT(BQ27,"")&amp;" vs "&amp;TEXT(BQ28,"")</f>
        <v>England vs South Africa</v>
      </c>
      <c r="BT27" s="1" t="str">
        <f>TEXT(BQ28,"")&amp;" vs "&amp;TEXT(BQ27,"")</f>
        <v>South Africa vs England</v>
      </c>
      <c r="BU27" s="4">
        <f>IF(ISERROR(VLOOKUP(BS27,RWC2003!$FW$11:$FX$50,2,FALSE)),VLOOKUP(BT27,RWC2003!$FW$11:$FX$50,2,FALSE),VLOOKUP(BS27,RWC2003!$FW$11:$FX$50,2,FALSE))</f>
        <v>16</v>
      </c>
      <c r="BV27" s="4" t="str">
        <f>VLOOKUP(BU27,$B$11:$AA$50,26)</f>
        <v>England</v>
      </c>
      <c r="BX27" s="1" t="str">
        <f>IF(AND(BR27=BR28,BV27=BQ28),BQ28,BQ27)</f>
        <v>England</v>
      </c>
      <c r="BY27" s="1">
        <f>VLOOKUP(BX27,$AG$27:$AO$31,9,FALSE)</f>
        <v>19</v>
      </c>
      <c r="CB27" s="4"/>
      <c r="CC27" s="4"/>
      <c r="CE27" s="1" t="str">
        <f>BX27</f>
        <v>England</v>
      </c>
      <c r="CF27" s="1">
        <f>VLOOKUP(CE27,$AG$27:$AO$31,9,FALSE)</f>
        <v>19</v>
      </c>
      <c r="CG27" s="1" t="str">
        <f>TEXT(CE27,"")&amp;" vs "&amp;TEXT(CE28,"")</f>
        <v>England vs South Africa</v>
      </c>
      <c r="CH27" s="1" t="str">
        <f>TEXT(CE28,"")&amp;" vs "&amp;TEXT(CE27,"")</f>
        <v>South Africa vs England</v>
      </c>
      <c r="CI27" s="4">
        <f>IF(ISERROR(VLOOKUP(CG27,RWC2003!$FW$11:$FX$50,2,FALSE)),VLOOKUP(CH27,RWC2003!$FW$11:$FX$50,2,FALSE),VLOOKUP(CG27,RWC2003!$FW$11:$FX$50,2,FALSE))</f>
        <v>16</v>
      </c>
      <c r="CJ27" s="4" t="str">
        <f>VLOOKUP(CI27,$B$11:$AA$50,26)</f>
        <v>England</v>
      </c>
      <c r="CL27" s="1" t="str">
        <f>IF(AND(CF27=CF28,CJ27=CE28),CE28,CE27)</f>
        <v>England</v>
      </c>
      <c r="CM27" s="1">
        <f>VLOOKUP(CL27,$AG$27:$AO$31,9,FALSE)</f>
        <v>19</v>
      </c>
      <c r="CN27" s="1" t="str">
        <f>TEXT(CL27,"")&amp;" vs "&amp;TEXT(CL28,"")</f>
        <v>England vs South Africa</v>
      </c>
      <c r="CO27" s="1" t="str">
        <f>TEXT(CL28,"")&amp;" vs "&amp;TEXT(CL27,"")</f>
        <v>South Africa vs England</v>
      </c>
      <c r="CP27" s="4">
        <f>IF(ISERROR(VLOOKUP(CN27,RWC2003!$FW$11:$FX$50,2,FALSE)),VLOOKUP(CO27,RWC2003!$FW$11:$FX$50,2,FALSE),VLOOKUP(CN27,RWC2003!$FW$11:$FX$50,2,FALSE))</f>
        <v>16</v>
      </c>
      <c r="CQ27" s="4" t="str">
        <f>VLOOKUP(CP27,$B$11:$AA$50,26)</f>
        <v>England</v>
      </c>
      <c r="CR27" s="4">
        <f>VLOOKUP(CL27,$AG$27:$AO$31,6,FALSE)</f>
        <v>255</v>
      </c>
      <c r="CS27" s="4">
        <f>VLOOKUP(CL27,$AG$27:$AO$31,7,FALSE)</f>
        <v>47</v>
      </c>
      <c r="CT27" s="4">
        <f>CR27-CS27</f>
        <v>208</v>
      </c>
      <c r="CV27" s="1" t="str">
        <f>IF(AND(CM27=CM28,OR(CQ27="draw",CQ27="")),IF(CT27&gt;=CT28,CL27,CL28),CL27)</f>
        <v>England</v>
      </c>
      <c r="CW27" s="1">
        <f>VLOOKUP(CV27,$AG$27:$AO$31,9,FALSE)</f>
        <v>19</v>
      </c>
      <c r="CX27" s="1" t="str">
        <f>TEXT(CV27,"")&amp;" vs "&amp;TEXT(CV28,"")</f>
        <v>England vs South Africa</v>
      </c>
      <c r="CY27" s="1" t="str">
        <f>TEXT(CV28,"")&amp;" vs "&amp;TEXT(CV27,"")</f>
        <v>South Africa vs England</v>
      </c>
      <c r="CZ27" s="4">
        <f>IF(ISERROR(VLOOKUP(CX27,RWC2003!$FW$11:$FX$50,2,FALSE)),VLOOKUP(CY27,RWC2003!$FW$11:$FX$50,2,FALSE),VLOOKUP(CX27,RWC2003!$FW$11:$FX$50,2,FALSE))</f>
        <v>16</v>
      </c>
      <c r="DA27" s="4" t="str">
        <f>VLOOKUP(CZ27,$B$11:$AA$50,26)</f>
        <v>England</v>
      </c>
      <c r="DB27" s="4">
        <f>VLOOKUP(CV27,$AG$27:$AO$31,6,FALSE)</f>
        <v>255</v>
      </c>
      <c r="DC27" s="4">
        <f>VLOOKUP(CV27,$AG$27:$AO$31,7,FALSE)</f>
        <v>47</v>
      </c>
      <c r="DD27" s="4">
        <f>DB27-DC27</f>
        <v>208</v>
      </c>
      <c r="DF27" s="1" t="str">
        <f>CV27</f>
        <v>England</v>
      </c>
      <c r="DG27" s="1">
        <f>VLOOKUP(DF27,$AG$27:$AO$31,9,FALSE)</f>
        <v>19</v>
      </c>
      <c r="DH27" s="1" t="str">
        <f>TEXT(DF27,"")&amp;" vs "&amp;TEXT(DF28,"")</f>
        <v>England vs South Africa</v>
      </c>
      <c r="DI27" s="1" t="str">
        <f>TEXT(DF28,"")&amp;" vs "&amp;TEXT(DF27,"")</f>
        <v>South Africa vs England</v>
      </c>
      <c r="DJ27" s="4">
        <f>IF(ISERROR(VLOOKUP(DH27,RWC2003!$FW$11:$FX$50,2,FALSE)),VLOOKUP(DI27,RWC2003!$FW$11:$FX$50,2,FALSE),VLOOKUP(DH27,RWC2003!$FW$11:$FX$50,2,FALSE))</f>
        <v>16</v>
      </c>
      <c r="DK27" s="4" t="str">
        <f>VLOOKUP(DJ27,$B$11:$AA$50,26)</f>
        <v>England</v>
      </c>
      <c r="DL27" s="4">
        <f>VLOOKUP(DF27,$AG$27:$AO$31,6,FALSE)</f>
        <v>255</v>
      </c>
      <c r="DM27" s="4">
        <f>VLOOKUP(DF27,$AG$27:$AO$31,7,FALSE)</f>
        <v>47</v>
      </c>
      <c r="DN27" s="4">
        <f>DL27-DM27</f>
        <v>208</v>
      </c>
      <c r="DP27" s="1" t="str">
        <f>IF(AND(DG27=DG28,OR(DK27="draw",DK27="")),IF(DN27&gt;=DN28,DF27,DF28),DF27)</f>
        <v>England</v>
      </c>
      <c r="DQ27" s="1">
        <f>VLOOKUP(DP27,$AG$27:$AO$31,9,FALSE)</f>
        <v>19</v>
      </c>
      <c r="DR27" s="1" t="str">
        <f>TEXT(DP27,"")&amp;" vs "&amp;TEXT(DP28,"")</f>
        <v>England vs South Africa</v>
      </c>
      <c r="DS27" s="1" t="str">
        <f>TEXT(DP28,"")&amp;" vs "&amp;TEXT(DP27,"")</f>
        <v>South Africa vs England</v>
      </c>
      <c r="DT27" s="4">
        <f>IF(ISERROR(VLOOKUP(DR27,RWC2003!$FW$11:$FX$50,2,FALSE)),VLOOKUP(DS27,RWC2003!$FW$11:$FX$50,2,FALSE),VLOOKUP(DR27,RWC2003!$FW$11:$FX$50,2,FALSE))</f>
        <v>16</v>
      </c>
      <c r="DU27" s="4" t="str">
        <f>VLOOKUP(DT27,$B$11:$AA$50,26)</f>
        <v>England</v>
      </c>
      <c r="DV27" s="4">
        <f>VLOOKUP(DP27,$AG$27:$AO$31,6,FALSE)</f>
        <v>255</v>
      </c>
      <c r="DW27" s="4">
        <f>VLOOKUP(DP27,$AG$27:$AO$31,7,FALSE)</f>
        <v>47</v>
      </c>
      <c r="DX27" s="4">
        <f>DV27-DW27</f>
        <v>208</v>
      </c>
      <c r="DZ27" s="1" t="str">
        <f>DP27</f>
        <v>England</v>
      </c>
      <c r="EA27" s="1">
        <f>VLOOKUP(DZ27,$AG$27:$AO$31,9,FALSE)</f>
        <v>19</v>
      </c>
      <c r="EB27" s="1" t="str">
        <f>TEXT(DZ27,"")&amp;" vs "&amp;TEXT(DZ28,"")</f>
        <v>England vs South Africa</v>
      </c>
      <c r="EC27" s="1" t="str">
        <f>TEXT(DZ28,"")&amp;" vs "&amp;TEXT(DZ27,"")</f>
        <v>South Africa vs England</v>
      </c>
      <c r="ED27" s="4">
        <f>IF(ISERROR(VLOOKUP(EB27,RWC2003!$FW$11:$FX$50,2,FALSE)),VLOOKUP(EC27,RWC2003!$FW$11:$FX$50,2,FALSE),VLOOKUP(EB27,RWC2003!$FW$11:$FX$50,2,FALSE))</f>
        <v>16</v>
      </c>
      <c r="EE27" s="4" t="str">
        <f>VLOOKUP(ED27,$B$11:$AA$50,26)</f>
        <v>England</v>
      </c>
      <c r="EF27" s="4">
        <f>VLOOKUP(DZ27,$AG$27:$AO$31,6,FALSE)</f>
        <v>255</v>
      </c>
      <c r="EG27" s="4">
        <f>VLOOKUP(DZ27,$AG$27:$AO$31,7,FALSE)</f>
        <v>47</v>
      </c>
      <c r="EH27" s="4">
        <f>EF27-EG27</f>
        <v>208</v>
      </c>
      <c r="EJ27" s="1" t="str">
        <f>IF(AND(EA27=EA28,OR(EE27="draw",EE27="")),IF(EH27&gt;=EH28,DZ27,DZ28),DZ27)</f>
        <v>England</v>
      </c>
      <c r="EK27" s="1">
        <f>VLOOKUP(EJ27,$AG$27:$AO$31,9,FALSE)</f>
        <v>19</v>
      </c>
      <c r="EL27" s="1" t="str">
        <f>TEXT(EJ27,"")&amp;" vs "&amp;TEXT(EJ28,"")</f>
        <v>England vs South Africa</v>
      </c>
      <c r="EM27" s="1" t="str">
        <f>TEXT(EJ28,"")&amp;" vs "&amp;TEXT(EJ27,"")</f>
        <v>South Africa vs England</v>
      </c>
      <c r="EN27" s="4">
        <f>IF(ISERROR(VLOOKUP(EL27,RWC2003!$FW$11:$FX$50,2,FALSE)),VLOOKUP(EM27,RWC2003!$FW$11:$FX$50,2,FALSE),VLOOKUP(EL27,RWC2003!$FW$11:$FX$50,2,FALSE))</f>
        <v>16</v>
      </c>
      <c r="EO27" s="4" t="str">
        <f>VLOOKUP(EN27,$B$11:$AA$50,26)</f>
        <v>England</v>
      </c>
      <c r="EP27" s="4">
        <f>VLOOKUP(EJ27,$AG$27:$AO$31,6,FALSE)</f>
        <v>255</v>
      </c>
      <c r="EQ27" s="4">
        <f>VLOOKUP(EJ27,$AG$27:$AO$31,7,FALSE)</f>
        <v>47</v>
      </c>
      <c r="ER27" s="4">
        <f>EP27-EQ27</f>
        <v>208</v>
      </c>
      <c r="ET27" s="1" t="str">
        <f>EJ27</f>
        <v>England</v>
      </c>
      <c r="EU27" s="4">
        <f>VLOOKUP($ET27,$AG$27:$AP$31,2,FALSE)</f>
        <v>4</v>
      </c>
      <c r="EV27" s="4">
        <f>VLOOKUP($ET27,$AG$27:$AP$31,3,FALSE)</f>
        <v>4</v>
      </c>
      <c r="EW27" s="4">
        <f>VLOOKUP($ET27,$AG$27:$AP$31,4,FALSE)</f>
        <v>0</v>
      </c>
      <c r="EX27" s="4">
        <f>VLOOKUP($ET27,$AG$27:$AP$31,5,FALSE)</f>
        <v>0</v>
      </c>
      <c r="EY27" s="4">
        <f>VLOOKUP($ET27,$AG$27:$AP$31,6,FALSE)</f>
        <v>255</v>
      </c>
      <c r="EZ27" s="4">
        <f>VLOOKUP($ET27,$AG$27:$AP$31,7,FALSE)</f>
        <v>47</v>
      </c>
      <c r="FA27" s="4">
        <f>VLOOKUP($ET27,$AG$27:$AP$31,8,FALSE)</f>
        <v>3</v>
      </c>
      <c r="FB27" s="4">
        <f>VLOOKUP($ET27,$AG$27:$AP$31,9,FALSE)</f>
        <v>19</v>
      </c>
      <c r="FE27" s="69">
        <f t="shared" si="14"/>
        <v>37913.166666666664</v>
      </c>
      <c r="FF27" s="67"/>
      <c r="FG27" s="69">
        <f>FH27</f>
        <v>37913.75</v>
      </c>
      <c r="FH27" s="69">
        <v>37913.75</v>
      </c>
      <c r="FI27" s="69">
        <f t="shared" si="2"/>
        <v>37913.833333333336</v>
      </c>
      <c r="FJ27" s="69">
        <f t="shared" si="9"/>
        <v>37913.416666666664</v>
      </c>
      <c r="FK27" s="69">
        <f t="shared" si="9"/>
        <v>37913.416666666664</v>
      </c>
      <c r="FL27" s="69">
        <f t="shared" si="10"/>
        <v>37913.375</v>
      </c>
      <c r="FM27" s="69">
        <f t="shared" si="11"/>
        <v>37913.166666666664</v>
      </c>
      <c r="FN27" s="69">
        <f t="shared" si="12"/>
        <v>37913.041666666664</v>
      </c>
      <c r="FO27" s="69">
        <f t="shared" si="13"/>
        <v>37913.125</v>
      </c>
      <c r="FP27" s="67"/>
      <c r="FT27" t="str">
        <f>TEXT(RWC2003!D27,"")&amp;" vs "&amp;TEXT(RWC2003!K27,"")</f>
        <v>Wales vs Tonga</v>
      </c>
      <c r="FU27">
        <v>17</v>
      </c>
      <c r="FV27"/>
      <c r="FW27" t="s">
        <v>95</v>
      </c>
      <c r="FX27">
        <v>35</v>
      </c>
    </row>
    <row r="28" spans="1:180" ht="13.5" customHeight="1" thickBot="1">
      <c r="A28" s="76"/>
      <c r="B28" s="1">
        <v>18</v>
      </c>
      <c r="C28" s="88">
        <f t="shared" si="3"/>
        <v>37913.25</v>
      </c>
      <c r="D28" s="46" t="s">
        <v>75</v>
      </c>
      <c r="E28" s="46"/>
      <c r="F28" s="66">
        <v>10</v>
      </c>
      <c r="G28" s="74">
        <v>64</v>
      </c>
      <c r="H28" s="74">
        <v>7</v>
      </c>
      <c r="I28" s="47">
        <v>1</v>
      </c>
      <c r="J28" s="48">
        <v>4</v>
      </c>
      <c r="K28" s="49" t="s">
        <v>77</v>
      </c>
      <c r="L28" s="50" t="s">
        <v>10</v>
      </c>
      <c r="M28" s="51" t="s">
        <v>33</v>
      </c>
      <c r="N28" s="1" t="s">
        <v>49</v>
      </c>
      <c r="P28" s="77" t="str">
        <f t="shared" si="17"/>
        <v>South Africa</v>
      </c>
      <c r="Q28" s="78">
        <f t="shared" si="17"/>
        <v>4</v>
      </c>
      <c r="R28" s="78">
        <f t="shared" si="17"/>
        <v>3</v>
      </c>
      <c r="S28" s="78">
        <f t="shared" si="17"/>
        <v>0</v>
      </c>
      <c r="T28" s="78">
        <f t="shared" si="17"/>
        <v>1</v>
      </c>
      <c r="U28" s="78">
        <f t="shared" si="17"/>
        <v>184</v>
      </c>
      <c r="V28" s="78">
        <f t="shared" si="17"/>
        <v>60</v>
      </c>
      <c r="W28" s="78">
        <f t="shared" si="18"/>
        <v>3</v>
      </c>
      <c r="X28" s="79">
        <f t="shared" si="18"/>
        <v>15</v>
      </c>
      <c r="AA28" s="1" t="str">
        <f t="shared" si="4"/>
        <v>Ireland</v>
      </c>
      <c r="AB28" s="1" t="str">
        <f t="shared" si="5"/>
        <v>Namibia</v>
      </c>
      <c r="AC28" s="1">
        <f>IF(MAX(G28:H28)-MIN(G28:H28)&lt;8,AB28,"")</f>
      </c>
      <c r="AD28" s="1" t="str">
        <f t="shared" si="7"/>
        <v>Ireland</v>
      </c>
      <c r="AE28" s="1">
        <f t="shared" si="8"/>
      </c>
      <c r="AG28" s="1" t="s">
        <v>79</v>
      </c>
      <c r="AH28" s="4">
        <f>COUNT(geo)</f>
        <v>4</v>
      </c>
      <c r="AI28" s="4">
        <f>COUNTIF($AA$11:$AA$50,AG28)</f>
        <v>0</v>
      </c>
      <c r="AJ28" s="4">
        <f>AH28-AI28-AK28</f>
        <v>0</v>
      </c>
      <c r="AK28" s="4">
        <f>COUNTIF($AB$11:$AB$50,AG28)</f>
        <v>4</v>
      </c>
      <c r="AL28" s="4">
        <f>SUM(geo)</f>
        <v>46</v>
      </c>
      <c r="AM28" s="4">
        <f>SUM(geo_a)</f>
        <v>200</v>
      </c>
      <c r="AN28" s="4">
        <f>COUNTIF($AC$11:$AE$50,AG28)</f>
        <v>0</v>
      </c>
      <c r="AO28" s="4">
        <f>AI28*win_pts+AJ28*draw_pts+AK28*loss_pts+AN28</f>
        <v>0</v>
      </c>
      <c r="AQ28" s="1" t="str">
        <f>IF(AO28&lt;=AO27,AG28,AG27)</f>
        <v>Georgia</v>
      </c>
      <c r="AR28" s="1">
        <f>VLOOKUP(AQ28,$AG$27:$AO$31,9,FALSE)</f>
        <v>0</v>
      </c>
      <c r="AS28"/>
      <c r="AT28" s="1" t="str">
        <f>IF(AR28&gt;=AR29,AQ28,AQ29)</f>
        <v>South Africa</v>
      </c>
      <c r="AU28" s="1">
        <f>VLOOKUP(AT28,$AG$27:$AO$31,9,FALSE)</f>
        <v>15</v>
      </c>
      <c r="AW28" s="1" t="str">
        <f>IF(AU28&lt;=AU27,AT28,AT27)</f>
        <v>South Africa</v>
      </c>
      <c r="AX28" s="1">
        <f>VLOOKUP(AW28,$AG$27:$AO$31,9,FALSE)</f>
        <v>15</v>
      </c>
      <c r="AZ28" s="1" t="str">
        <f>IF(AX28&gt;=AX29,AW28,AW29)</f>
        <v>South Africa</v>
      </c>
      <c r="BA28" s="1">
        <f>VLOOKUP(AZ28,$AG$27:$AO$31,9,FALSE)</f>
        <v>15</v>
      </c>
      <c r="BC28" s="1" t="str">
        <f>IF(BA28&lt;=BA27,AZ28,AZ27)</f>
        <v>South Africa</v>
      </c>
      <c r="BD28" s="1">
        <f>VLOOKUP(BC28,$AG$27:$AO$31,9,FALSE)</f>
        <v>15</v>
      </c>
      <c r="BG28" s="4"/>
      <c r="BH28" s="4"/>
      <c r="BJ28" s="1" t="str">
        <f>IF(AND(BD27=BD28,BH27=BC28),BC27,BC28)</f>
        <v>South Africa</v>
      </c>
      <c r="BK28" s="1">
        <f>VLOOKUP(BJ28,$AG$27:$AO$31,9,FALSE)</f>
        <v>15</v>
      </c>
      <c r="BL28" s="1" t="str">
        <f>TEXT(BJ28,"")&amp;" vs "&amp;TEXT(BJ29,"")</f>
        <v>South Africa vs Samoa</v>
      </c>
      <c r="BM28" s="1" t="str">
        <f>TEXT(BJ29,"")&amp;" vs "&amp;TEXT(BJ28,"")</f>
        <v>Samoa vs South Africa</v>
      </c>
      <c r="BN28" s="4">
        <f>IF(ISERROR(VLOOKUP(BL28,RWC2003!$FW$11:$FX$50,2,FALSE)),VLOOKUP(BM28,RWC2003!$FW$11:$FX$50,2,FALSE),VLOOKUP(BL28,RWC2003!$FW$11:$FX$50,2,FALSE))</f>
        <v>37</v>
      </c>
      <c r="BO28" s="4" t="str">
        <f>VLOOKUP(BN28,$B$11:$AA$50,26)</f>
        <v>South Africa</v>
      </c>
      <c r="BQ28" s="1" t="str">
        <f>IF(AND(BK28=BK29,BO28=BJ29),BJ29,BJ28)</f>
        <v>South Africa</v>
      </c>
      <c r="BR28" s="1">
        <f>VLOOKUP(BQ28,$AG$27:$AO$31,9,FALSE)</f>
        <v>15</v>
      </c>
      <c r="BU28" s="4"/>
      <c r="BV28" s="4"/>
      <c r="BX28" s="1" t="str">
        <f>IF(AND(BR27=BR28,BV27=BQ28),BQ27,BQ28)</f>
        <v>South Africa</v>
      </c>
      <c r="BY28" s="1">
        <f>VLOOKUP(BX28,$AG$27:$AO$31,9,FALSE)</f>
        <v>15</v>
      </c>
      <c r="BZ28" s="1" t="str">
        <f>TEXT(BX28,"")&amp;" vs "&amp;TEXT(BX29,"")</f>
        <v>South Africa vs Samoa</v>
      </c>
      <c r="CA28" s="1" t="str">
        <f>TEXT(BX29,"")&amp;" vs "&amp;TEXT(BX28,"")</f>
        <v>Samoa vs South Africa</v>
      </c>
      <c r="CB28" s="4">
        <f>IF(ISERROR(VLOOKUP(BZ28,RWC2003!$FW$11:$FX$50,2,FALSE)),VLOOKUP(CA28,RWC2003!$FW$11:$FX$50,2,FALSE),VLOOKUP(BZ28,RWC2003!$FW$11:$FX$50,2,FALSE))</f>
        <v>37</v>
      </c>
      <c r="CC28" s="4" t="str">
        <f>VLOOKUP(CB28,$B$11:$AA$50,26)</f>
        <v>South Africa</v>
      </c>
      <c r="CE28" s="1" t="str">
        <f>IF(AND(BY28=BY29,CC28=BX29),BX29,BX28)</f>
        <v>South Africa</v>
      </c>
      <c r="CF28" s="1">
        <f>VLOOKUP(CE28,$AG$27:$AO$31,9,FALSE)</f>
        <v>15</v>
      </c>
      <c r="CI28" s="4"/>
      <c r="CJ28" s="4"/>
      <c r="CL28" s="1" t="str">
        <f>IF(AND(CF27=CF28,CJ27=CE28),CE27,CE28)</f>
        <v>South Africa</v>
      </c>
      <c r="CM28" s="1">
        <f>VLOOKUP(CL28,$AG$27:$AO$31,9,FALSE)</f>
        <v>15</v>
      </c>
      <c r="CN28" s="1" t="str">
        <f>TEXT(CL28,"")&amp;" vs "&amp;TEXT(CL29,"")</f>
        <v>South Africa vs Samoa</v>
      </c>
      <c r="CO28" s="1" t="str">
        <f>TEXT(CL29,"")&amp;" vs "&amp;TEXT(CL28,"")</f>
        <v>Samoa vs South Africa</v>
      </c>
      <c r="CP28" s="4">
        <f>IF(ISERROR(VLOOKUP(CN28,RWC2003!$FW$11:$FX$50,2,FALSE)),VLOOKUP(CO28,RWC2003!$FW$11:$FX$50,2,FALSE),VLOOKUP(CN28,RWC2003!$FW$11:$FX$50,2,FALSE))</f>
        <v>37</v>
      </c>
      <c r="CQ28" s="4" t="str">
        <f>VLOOKUP(CP28,$B$11:$AA$50,26)</f>
        <v>South Africa</v>
      </c>
      <c r="CR28" s="4">
        <f>VLOOKUP(CL28,$AG$27:$AO$31,6,FALSE)</f>
        <v>184</v>
      </c>
      <c r="CS28" s="4">
        <f>VLOOKUP(CL28,$AG$27:$AO$31,7,FALSE)</f>
        <v>60</v>
      </c>
      <c r="CT28" s="4">
        <f>CR28-CS28</f>
        <v>124</v>
      </c>
      <c r="CV28" s="1" t="str">
        <f>IF(AND(CM27=CM28,OR(CQ27="draw",CQ27="")),IF(CT27&gt;=CT28,CL28,CL27),CL28)</f>
        <v>South Africa</v>
      </c>
      <c r="CW28" s="1">
        <f>VLOOKUP(CV28,$AG$27:$AO$31,9,FALSE)</f>
        <v>15</v>
      </c>
      <c r="CX28" s="1" t="str">
        <f>TEXT(CV28,"")&amp;" vs "&amp;TEXT(CV29,"")</f>
        <v>South Africa vs Samoa</v>
      </c>
      <c r="CY28" s="1" t="str">
        <f>TEXT(CV29,"")&amp;" vs "&amp;TEXT(CV28,"")</f>
        <v>Samoa vs South Africa</v>
      </c>
      <c r="CZ28" s="4">
        <f>IF(ISERROR(VLOOKUP(CX28,RWC2003!$FW$11:$FX$50,2,FALSE)),VLOOKUP(CY28,RWC2003!$FW$11:$FX$50,2,FALSE),VLOOKUP(CX28,RWC2003!$FW$11:$FX$50,2,FALSE))</f>
        <v>37</v>
      </c>
      <c r="DA28" s="4" t="str">
        <f>VLOOKUP(CZ28,$B$11:$AA$50,26)</f>
        <v>South Africa</v>
      </c>
      <c r="DB28" s="4">
        <f>VLOOKUP(CV28,$AG$27:$AO$31,6,FALSE)</f>
        <v>184</v>
      </c>
      <c r="DC28" s="4">
        <f>VLOOKUP(CV28,$AG$27:$AO$31,7,FALSE)</f>
        <v>60</v>
      </c>
      <c r="DD28" s="4">
        <f>DB28-DC28</f>
        <v>124</v>
      </c>
      <c r="DF28" s="1" t="str">
        <f>IF(AND(CW28=CW29,OR(DA28="draw",DA28="")),IF(DD28&gt;=DD29,CV28,CV29),CV28)</f>
        <v>South Africa</v>
      </c>
      <c r="DG28" s="1">
        <f>VLOOKUP(DF28,$AG$27:$AO$31,9,FALSE)</f>
        <v>15</v>
      </c>
      <c r="DH28" s="1" t="str">
        <f>TEXT(DF28,"")&amp;" vs "&amp;TEXT(DF29,"")</f>
        <v>South Africa vs Samoa</v>
      </c>
      <c r="DI28" s="1" t="str">
        <f>TEXT(DF29,"")&amp;" vs "&amp;TEXT(DF28,"")</f>
        <v>Samoa vs South Africa</v>
      </c>
      <c r="DJ28" s="4">
        <f>IF(ISERROR(VLOOKUP(DH28,RWC2003!$FW$11:$FX$50,2,FALSE)),VLOOKUP(DI28,RWC2003!$FW$11:$FX$50,2,FALSE),VLOOKUP(DH28,RWC2003!$FW$11:$FX$50,2,FALSE))</f>
        <v>37</v>
      </c>
      <c r="DK28" s="4" t="str">
        <f>VLOOKUP(DJ28,$B$11:$AA$50,26)</f>
        <v>South Africa</v>
      </c>
      <c r="DL28" s="4">
        <f>VLOOKUP(DF28,$AG$27:$AO$31,6,FALSE)</f>
        <v>184</v>
      </c>
      <c r="DM28" s="4">
        <f>VLOOKUP(DF28,$AG$27:$AO$31,7,FALSE)</f>
        <v>60</v>
      </c>
      <c r="DN28" s="4">
        <f>DL28-DM28</f>
        <v>124</v>
      </c>
      <c r="DP28" s="1" t="str">
        <f>IF(AND(DG27=DG28,OR(DK27="draw",DK27="")),IF(DN27&gt;=DN28,DF28,DF27),DF28)</f>
        <v>South Africa</v>
      </c>
      <c r="DQ28" s="1">
        <f>VLOOKUP(DP28,$AG$27:$AO$31,9,FALSE)</f>
        <v>15</v>
      </c>
      <c r="DR28" s="1" t="str">
        <f>TEXT(DP28,"")&amp;" vs "&amp;TEXT(DP29,"")</f>
        <v>South Africa vs Samoa</v>
      </c>
      <c r="DS28" s="1" t="str">
        <f>TEXT(DP29,"")&amp;" vs "&amp;TEXT(DP28,"")</f>
        <v>Samoa vs South Africa</v>
      </c>
      <c r="DT28" s="4">
        <f>IF(ISERROR(VLOOKUP(DR28,RWC2003!$FW$11:$FX$50,2,FALSE)),VLOOKUP(DS28,RWC2003!$FW$11:$FX$50,2,FALSE),VLOOKUP(DR28,RWC2003!$FW$11:$FX$50,2,FALSE))</f>
        <v>37</v>
      </c>
      <c r="DU28" s="4" t="str">
        <f>VLOOKUP(DT28,$B$11:$AA$50,26)</f>
        <v>South Africa</v>
      </c>
      <c r="DV28" s="4">
        <f>VLOOKUP(DP28,$AG$27:$AO$31,6,FALSE)</f>
        <v>184</v>
      </c>
      <c r="DW28" s="4">
        <f>VLOOKUP(DP28,$AG$27:$AO$31,7,FALSE)</f>
        <v>60</v>
      </c>
      <c r="DX28" s="4">
        <f>DV28-DW28</f>
        <v>124</v>
      </c>
      <c r="DZ28" s="1" t="str">
        <f>IF(AND(DQ28=DQ29,OR(DU28="draw",DU28="")),IF(DX28&gt;=DX29,DP28,DP29),DP28)</f>
        <v>South Africa</v>
      </c>
      <c r="EA28" s="1">
        <f>VLOOKUP(DZ28,$AG$27:$AO$31,9,FALSE)</f>
        <v>15</v>
      </c>
      <c r="EB28" s="1" t="str">
        <f>TEXT(DZ28,"")&amp;" vs "&amp;TEXT(DZ29,"")</f>
        <v>South Africa vs Samoa</v>
      </c>
      <c r="EC28" s="1" t="str">
        <f>TEXT(DZ29,"")&amp;" vs "&amp;TEXT(DZ28,"")</f>
        <v>Samoa vs South Africa</v>
      </c>
      <c r="ED28" s="4">
        <f>IF(ISERROR(VLOOKUP(EB28,RWC2003!$FW$11:$FX$50,2,FALSE)),VLOOKUP(EC28,RWC2003!$FW$11:$FX$50,2,FALSE),VLOOKUP(EB28,RWC2003!$FW$11:$FX$50,2,FALSE))</f>
        <v>37</v>
      </c>
      <c r="EE28" s="4" t="str">
        <f>VLOOKUP(ED28,$B$11:$AA$50,26)</f>
        <v>South Africa</v>
      </c>
      <c r="EF28" s="4">
        <f>VLOOKUP(DZ28,$AG$27:$AO$31,6,FALSE)</f>
        <v>184</v>
      </c>
      <c r="EG28" s="4">
        <f>VLOOKUP(DZ28,$AG$27:$AO$31,7,FALSE)</f>
        <v>60</v>
      </c>
      <c r="EH28" s="4">
        <f>EF28-EG28</f>
        <v>124</v>
      </c>
      <c r="EJ28" s="1" t="str">
        <f>IF(AND(EA27=EA28,OR(EE27="draw",EE27="")),IF(EH27&gt;=EH28,DZ28,DZ27),DZ28)</f>
        <v>South Africa</v>
      </c>
      <c r="EK28" s="1">
        <f>VLOOKUP(EJ28,$AG$27:$AO$31,9,FALSE)</f>
        <v>15</v>
      </c>
      <c r="EL28" s="1" t="str">
        <f>TEXT(EJ28,"")&amp;" vs "&amp;TEXT(EJ29,"")</f>
        <v>South Africa vs Samoa</v>
      </c>
      <c r="EM28" s="1" t="str">
        <f>TEXT(EJ29,"")&amp;" vs "&amp;TEXT(EJ28,"")</f>
        <v>Samoa vs South Africa</v>
      </c>
      <c r="EN28" s="4">
        <f>IF(ISERROR(VLOOKUP(EL28,RWC2003!$FW$11:$FX$50,2,FALSE)),VLOOKUP(EM28,RWC2003!$FW$11:$FX$50,2,FALSE),VLOOKUP(EL28,RWC2003!$FW$11:$FX$50,2,FALSE))</f>
        <v>37</v>
      </c>
      <c r="EO28" s="4" t="str">
        <f>VLOOKUP(EN28,$B$11:$AA$50,26)</f>
        <v>South Africa</v>
      </c>
      <c r="EP28" s="4">
        <f>VLOOKUP(EJ28,$AG$27:$AO$31,6,FALSE)</f>
        <v>184</v>
      </c>
      <c r="EQ28" s="4">
        <f>VLOOKUP(EJ28,$AG$27:$AO$31,7,FALSE)</f>
        <v>60</v>
      </c>
      <c r="ER28" s="4">
        <f>EP28-EQ28</f>
        <v>124</v>
      </c>
      <c r="ET28" s="1" t="str">
        <f>EJ28</f>
        <v>South Africa</v>
      </c>
      <c r="EU28" s="4">
        <f>VLOOKUP($ET28,$AG$27:$AP$31,2,FALSE)</f>
        <v>4</v>
      </c>
      <c r="EV28" s="4">
        <f>VLOOKUP($ET28,$AG$27:$AP$31,3,FALSE)</f>
        <v>3</v>
      </c>
      <c r="EW28" s="4">
        <f>VLOOKUP($ET28,$AG$27:$AP$31,4,FALSE)</f>
        <v>0</v>
      </c>
      <c r="EX28" s="4">
        <f>VLOOKUP($ET28,$AG$27:$AP$31,5,FALSE)</f>
        <v>1</v>
      </c>
      <c r="EY28" s="4">
        <f>VLOOKUP($ET28,$AG$27:$AP$31,6,FALSE)</f>
        <v>184</v>
      </c>
      <c r="EZ28" s="4">
        <f>VLOOKUP($ET28,$AG$27:$AP$31,7,FALSE)</f>
        <v>60</v>
      </c>
      <c r="FA28" s="4">
        <f>VLOOKUP($ET28,$AG$27:$AP$31,8,FALSE)</f>
        <v>3</v>
      </c>
      <c r="FB28" s="4">
        <f>VLOOKUP($ET28,$AG$27:$AP$31,9,FALSE)</f>
        <v>15</v>
      </c>
      <c r="FE28" s="69">
        <f t="shared" si="14"/>
        <v>37913.25</v>
      </c>
      <c r="FF28" s="67"/>
      <c r="FG28" s="69">
        <f>FH28</f>
        <v>37913.833333333336</v>
      </c>
      <c r="FH28" s="69">
        <v>37913.833333333336</v>
      </c>
      <c r="FI28" s="69">
        <f t="shared" si="2"/>
        <v>37913.91666666667</v>
      </c>
      <c r="FJ28" s="69">
        <f t="shared" si="9"/>
        <v>37913.5</v>
      </c>
      <c r="FK28" s="69">
        <f t="shared" si="9"/>
        <v>37913.5</v>
      </c>
      <c r="FL28" s="69">
        <f t="shared" si="10"/>
        <v>37913.458333333336</v>
      </c>
      <c r="FM28" s="69">
        <f t="shared" si="11"/>
        <v>37913.25</v>
      </c>
      <c r="FN28" s="69">
        <f t="shared" si="12"/>
        <v>37913.125</v>
      </c>
      <c r="FO28" s="69">
        <f t="shared" si="13"/>
        <v>37913.208333333336</v>
      </c>
      <c r="FP28" s="67"/>
      <c r="FT28" t="str">
        <f>TEXT(RWC2003!D28,"")&amp;" vs "&amp;TEXT(RWC2003!K28,"")</f>
        <v>Ireland vs Namibia</v>
      </c>
      <c r="FU28">
        <v>18</v>
      </c>
      <c r="FV28"/>
      <c r="FW28" t="s">
        <v>111</v>
      </c>
      <c r="FX28">
        <v>19</v>
      </c>
    </row>
    <row r="29" spans="2:180" ht="13.5" customHeight="1" thickBot="1">
      <c r="B29" s="1">
        <v>19</v>
      </c>
      <c r="C29" s="88">
        <f t="shared" si="3"/>
        <v>37913.33333333333</v>
      </c>
      <c r="D29" s="46" t="s">
        <v>79</v>
      </c>
      <c r="E29" s="46"/>
      <c r="F29" s="66">
        <v>0</v>
      </c>
      <c r="G29" s="74">
        <v>9</v>
      </c>
      <c r="H29" s="74">
        <v>46</v>
      </c>
      <c r="I29" s="47">
        <v>6</v>
      </c>
      <c r="J29" s="48"/>
      <c r="K29" s="49" t="s">
        <v>72</v>
      </c>
      <c r="L29" s="50" t="s">
        <v>13</v>
      </c>
      <c r="M29" s="51" t="s">
        <v>43</v>
      </c>
      <c r="N29" s="1" t="s">
        <v>44</v>
      </c>
      <c r="P29" s="77" t="str">
        <f t="shared" si="17"/>
        <v>Samoa</v>
      </c>
      <c r="Q29" s="78">
        <f t="shared" si="17"/>
        <v>4</v>
      </c>
      <c r="R29" s="78">
        <f t="shared" si="17"/>
        <v>2</v>
      </c>
      <c r="S29" s="78">
        <f t="shared" si="17"/>
        <v>0</v>
      </c>
      <c r="T29" s="78">
        <f t="shared" si="17"/>
        <v>2</v>
      </c>
      <c r="U29" s="78">
        <f t="shared" si="17"/>
        <v>138</v>
      </c>
      <c r="V29" s="78">
        <f t="shared" si="17"/>
        <v>117</v>
      </c>
      <c r="W29" s="78">
        <f t="shared" si="18"/>
        <v>2</v>
      </c>
      <c r="X29" s="79">
        <f t="shared" si="18"/>
        <v>10</v>
      </c>
      <c r="Y29" s="4"/>
      <c r="Z29" s="4"/>
      <c r="AA29" s="1" t="str">
        <f t="shared" si="4"/>
        <v>Samoa</v>
      </c>
      <c r="AB29" s="1" t="str">
        <f t="shared" si="5"/>
        <v>Georgia</v>
      </c>
      <c r="AC29" s="1">
        <f t="shared" si="6"/>
      </c>
      <c r="AD29" s="1">
        <f t="shared" si="7"/>
      </c>
      <c r="AE29" s="1" t="str">
        <f t="shared" si="8"/>
        <v>Samoa</v>
      </c>
      <c r="AG29" s="1" t="s">
        <v>72</v>
      </c>
      <c r="AH29" s="4">
        <f>COUNT(sam)</f>
        <v>4</v>
      </c>
      <c r="AI29" s="4">
        <f>COUNTIF($AA$11:$AA$50,AG29)</f>
        <v>2</v>
      </c>
      <c r="AJ29" s="4">
        <f>AH29-AI29-AK29</f>
        <v>0</v>
      </c>
      <c r="AK29" s="4">
        <f>COUNTIF($AB$11:$AB$50,AG29)</f>
        <v>2</v>
      </c>
      <c r="AL29" s="4">
        <f>SUM(sam)</f>
        <v>138</v>
      </c>
      <c r="AM29" s="4">
        <f>SUM(sam_a)</f>
        <v>117</v>
      </c>
      <c r="AN29" s="4">
        <f>COUNTIF($AC$11:$AE$50,AG29)</f>
        <v>2</v>
      </c>
      <c r="AO29" s="4">
        <f>AI29*win_pts+AJ29*draw_pts+AK29*loss_pts+AN29</f>
        <v>10</v>
      </c>
      <c r="AQ29" s="1" t="str">
        <f>IF(AO29&gt;=AO30,AG29,AG30)</f>
        <v>South Africa</v>
      </c>
      <c r="AR29" s="1">
        <f>VLOOKUP(AQ29,$AG$27:$AO$31,9,FALSE)</f>
        <v>15</v>
      </c>
      <c r="AS29"/>
      <c r="AT29" s="1" t="str">
        <f>IF(AR29&lt;=AR28,AQ29,AQ28)</f>
        <v>Georgia</v>
      </c>
      <c r="AU29" s="1">
        <f>VLOOKUP(AT29,$AG$27:$AO$31,9,FALSE)</f>
        <v>0</v>
      </c>
      <c r="AW29" s="1" t="str">
        <f>IF(AU29&gt;=AU30,AT29,AT30)</f>
        <v>Samoa</v>
      </c>
      <c r="AX29" s="1">
        <f>VLOOKUP(AW29,$AG$27:$AO$31,9,FALSE)</f>
        <v>10</v>
      </c>
      <c r="AZ29" s="1" t="str">
        <f>IF(AX29&lt;=AX28,AW29,AW28)</f>
        <v>Samoa</v>
      </c>
      <c r="BA29" s="1">
        <f>VLOOKUP(AZ29,$AG$27:$AO$31,9,FALSE)</f>
        <v>10</v>
      </c>
      <c r="BC29" s="1" t="str">
        <f>IF(BA29&gt;=BA30,AZ29,AZ30)</f>
        <v>Samoa</v>
      </c>
      <c r="BD29" s="1">
        <f>VLOOKUP(BC29,$AG$27:$AO$31,9,FALSE)</f>
        <v>10</v>
      </c>
      <c r="BE29" s="1" t="str">
        <f>TEXT(BC29,"")&amp;" vs "&amp;TEXT(BC30,"")</f>
        <v>Samoa vs Uruguay</v>
      </c>
      <c r="BF29" s="1" t="str">
        <f>TEXT(BC30,"")&amp;" vs "&amp;TEXT(BC29,"")</f>
        <v>Uruguay vs Samoa</v>
      </c>
      <c r="BG29" s="4">
        <f>IF(ISERROR(VLOOKUP(BE29,RWC2003!$FW$11:$FX$50,2,FALSE)),VLOOKUP(BF29,RWC2003!$FW$11:$FX$50,2,FALSE),VLOOKUP(BE29,RWC2003!$FW$11:$FX$50,2,FALSE))</f>
        <v>12</v>
      </c>
      <c r="BH29" s="4" t="str">
        <f>VLOOKUP(BG29,$B$11:$AA$50,26)</f>
        <v>Samoa</v>
      </c>
      <c r="BJ29" s="1" t="str">
        <f>IF(AND(BD29=BD30,BH29=BC30),BC30,BC29)</f>
        <v>Samoa</v>
      </c>
      <c r="BK29" s="1">
        <f>VLOOKUP(BJ29,$AG$27:$AO$31,9,FALSE)</f>
        <v>10</v>
      </c>
      <c r="BN29" s="4"/>
      <c r="BO29" s="4"/>
      <c r="BQ29" s="1" t="str">
        <f>IF(AND(BK28=BK29,BO28=BJ29),BJ28,BJ29)</f>
        <v>Samoa</v>
      </c>
      <c r="BR29" s="1">
        <f>VLOOKUP(BQ29,$AG$27:$AO$31,9,FALSE)</f>
        <v>10</v>
      </c>
      <c r="BS29" s="1" t="str">
        <f>TEXT(BQ29,"")&amp;" vs "&amp;TEXT(BQ30,"")</f>
        <v>Samoa vs Uruguay</v>
      </c>
      <c r="BT29" s="1" t="str">
        <f>TEXT(BQ30,"")&amp;" vs "&amp;TEXT(BQ29,"")</f>
        <v>Uruguay vs Samoa</v>
      </c>
      <c r="BU29" s="4">
        <f>IF(ISERROR(VLOOKUP(BS29,RWC2003!$FW$11:$FX$50,2,FALSE)),VLOOKUP(BT29,RWC2003!$FW$11:$FX$50,2,FALSE),VLOOKUP(BS29,RWC2003!$FW$11:$FX$50,2,FALSE))</f>
        <v>12</v>
      </c>
      <c r="BV29" s="4" t="str">
        <f>VLOOKUP(BU29,$B$11:$AA$50,26)</f>
        <v>Samoa</v>
      </c>
      <c r="BX29" s="1" t="str">
        <f>IF(AND(BR29=BR30,BV29=BQ30),BQ30,BQ29)</f>
        <v>Samoa</v>
      </c>
      <c r="BY29" s="1">
        <f>VLOOKUP(BX29,$AG$27:$AO$31,9,FALSE)</f>
        <v>10</v>
      </c>
      <c r="CB29" s="4"/>
      <c r="CC29" s="4"/>
      <c r="CE29" s="1" t="str">
        <f>IF(AND(BY28=BY29,CC28=BX29),BX28,BX29)</f>
        <v>Samoa</v>
      </c>
      <c r="CF29" s="1">
        <f>VLOOKUP(CE29,$AG$27:$AO$31,9,FALSE)</f>
        <v>10</v>
      </c>
      <c r="CG29" s="1" t="str">
        <f>TEXT(CE29,"")&amp;" vs "&amp;TEXT(CE30,"")</f>
        <v>Samoa vs Uruguay</v>
      </c>
      <c r="CH29" s="1" t="str">
        <f>TEXT(CE30,"")&amp;" vs "&amp;TEXT(CE29,"")</f>
        <v>Uruguay vs Samoa</v>
      </c>
      <c r="CI29" s="4">
        <f>IF(ISERROR(VLOOKUP(CG29,RWC2003!$FW$11:$FX$50,2,FALSE)),VLOOKUP(CH29,RWC2003!$FW$11:$FX$50,2,FALSE),VLOOKUP(CG29,RWC2003!$FW$11:$FX$50,2,FALSE))</f>
        <v>12</v>
      </c>
      <c r="CJ29" s="4" t="str">
        <f>VLOOKUP(CI29,$B$11:$AA$50,26)</f>
        <v>Samoa</v>
      </c>
      <c r="CL29" s="1" t="str">
        <f>IF(AND(CF29=CF30,CJ29=CE30),CE30,CE29)</f>
        <v>Samoa</v>
      </c>
      <c r="CM29" s="1">
        <f>VLOOKUP(CL29,$AG$27:$AO$31,9,FALSE)</f>
        <v>10</v>
      </c>
      <c r="CN29" s="1" t="str">
        <f>TEXT(CL29,"")&amp;" vs "&amp;TEXT(CL30,"")</f>
        <v>Samoa vs Uruguay</v>
      </c>
      <c r="CO29" s="1" t="str">
        <f>TEXT(CL30,"")&amp;" vs "&amp;TEXT(CL29,"")</f>
        <v>Uruguay vs Samoa</v>
      </c>
      <c r="CP29" s="4">
        <f>IF(ISERROR(VLOOKUP(CN29,RWC2003!$FW$11:$FX$50,2,FALSE)),VLOOKUP(CO29,RWC2003!$FW$11:$FX$50,2,FALSE),VLOOKUP(CN29,RWC2003!$FW$11:$FX$50,2,FALSE))</f>
        <v>12</v>
      </c>
      <c r="CQ29" s="4" t="str">
        <f>VLOOKUP(CP29,$B$11:$AA$50,26)</f>
        <v>Samoa</v>
      </c>
      <c r="CR29" s="4">
        <f>VLOOKUP(CL29,$AG$27:$AO$31,6,FALSE)</f>
        <v>138</v>
      </c>
      <c r="CS29" s="4">
        <f>VLOOKUP(CL29,$AG$27:$AO$31,7,FALSE)</f>
        <v>117</v>
      </c>
      <c r="CT29" s="4">
        <f>CR29-CS29</f>
        <v>21</v>
      </c>
      <c r="CV29" s="1" t="str">
        <f>IF(AND(CM29=CM30,OR(CQ29="draw",CQ29="")),IF(CT29&gt;=CT30,CL29,CL30),CL29)</f>
        <v>Samoa</v>
      </c>
      <c r="CW29" s="1">
        <f>VLOOKUP(CV29,$AG$27:$AO$31,9,FALSE)</f>
        <v>10</v>
      </c>
      <c r="CX29" s="1" t="str">
        <f>TEXT(CV29,"")&amp;" vs "&amp;TEXT(CV30,"")</f>
        <v>Samoa vs Uruguay</v>
      </c>
      <c r="CY29" s="1" t="str">
        <f>TEXT(CV30,"")&amp;" vs "&amp;TEXT(CV29,"")</f>
        <v>Uruguay vs Samoa</v>
      </c>
      <c r="CZ29" s="4">
        <f>IF(ISERROR(VLOOKUP(CX29,RWC2003!$FW$11:$FX$50,2,FALSE)),VLOOKUP(CY29,RWC2003!$FW$11:$FX$50,2,FALSE),VLOOKUP(CX29,RWC2003!$FW$11:$FX$50,2,FALSE))</f>
        <v>12</v>
      </c>
      <c r="DA29" s="4" t="str">
        <f>VLOOKUP(CZ29,$B$11:$AA$50,26)</f>
        <v>Samoa</v>
      </c>
      <c r="DB29" s="4">
        <f>VLOOKUP(CV29,$AG$27:$AO$31,6,FALSE)</f>
        <v>138</v>
      </c>
      <c r="DC29" s="4">
        <f>VLOOKUP(CV29,$AG$27:$AO$31,7,FALSE)</f>
        <v>117</v>
      </c>
      <c r="DD29" s="4">
        <f>DB29-DC29</f>
        <v>21</v>
      </c>
      <c r="DF29" s="1" t="str">
        <f>IF(AND(CW28=CW29,OR(DA28="draw",DA28="")),IF(DD28&gt;=DD29,CV29,CV28),CV29)</f>
        <v>Samoa</v>
      </c>
      <c r="DG29" s="1">
        <f>VLOOKUP(DF29,$AG$27:$AO$31,9,FALSE)</f>
        <v>10</v>
      </c>
      <c r="DH29" s="1" t="str">
        <f>TEXT(DF29,"")&amp;" vs "&amp;TEXT(DF30,"")</f>
        <v>Samoa vs Uruguay</v>
      </c>
      <c r="DI29" s="1" t="str">
        <f>TEXT(DF30,"")&amp;" vs "&amp;TEXT(DF29,"")</f>
        <v>Uruguay vs Samoa</v>
      </c>
      <c r="DJ29" s="4">
        <f>IF(ISERROR(VLOOKUP(DH29,RWC2003!$FW$11:$FX$50,2,FALSE)),VLOOKUP(DI29,RWC2003!$FW$11:$FX$50,2,FALSE),VLOOKUP(DH29,RWC2003!$FW$11:$FX$50,2,FALSE))</f>
        <v>12</v>
      </c>
      <c r="DK29" s="4" t="str">
        <f>VLOOKUP(DJ29,$B$11:$AA$50,26)</f>
        <v>Samoa</v>
      </c>
      <c r="DL29" s="4">
        <f>VLOOKUP(DF29,$AG$27:$AO$31,6,FALSE)</f>
        <v>138</v>
      </c>
      <c r="DM29" s="4">
        <f>VLOOKUP(DF29,$AG$27:$AO$31,7,FALSE)</f>
        <v>117</v>
      </c>
      <c r="DN29" s="4">
        <f>DL29-DM29</f>
        <v>21</v>
      </c>
      <c r="DP29" s="1" t="str">
        <f>IF(AND(DG29=DG30,OR(DK29="draw",DK29="")),IF(DN29&gt;=DN30,DF29,DF30),DF29)</f>
        <v>Samoa</v>
      </c>
      <c r="DQ29" s="1">
        <f>VLOOKUP(DP29,$AG$27:$AO$31,9,FALSE)</f>
        <v>10</v>
      </c>
      <c r="DR29" s="1" t="str">
        <f>TEXT(DP29,"")&amp;" vs "&amp;TEXT(DP30,"")</f>
        <v>Samoa vs Uruguay</v>
      </c>
      <c r="DS29" s="1" t="str">
        <f>TEXT(DP30,"")&amp;" vs "&amp;TEXT(DP29,"")</f>
        <v>Uruguay vs Samoa</v>
      </c>
      <c r="DT29" s="4">
        <f>IF(ISERROR(VLOOKUP(DR29,RWC2003!$FW$11:$FX$50,2,FALSE)),VLOOKUP(DS29,RWC2003!$FW$11:$FX$50,2,FALSE),VLOOKUP(DR29,RWC2003!$FW$11:$FX$50,2,FALSE))</f>
        <v>12</v>
      </c>
      <c r="DU29" s="4" t="str">
        <f>VLOOKUP(DT29,$B$11:$AA$50,26)</f>
        <v>Samoa</v>
      </c>
      <c r="DV29" s="4">
        <f>VLOOKUP(DP29,$AG$27:$AO$31,6,FALSE)</f>
        <v>138</v>
      </c>
      <c r="DW29" s="4">
        <f>VLOOKUP(DP29,$AG$27:$AO$31,7,FALSE)</f>
        <v>117</v>
      </c>
      <c r="DX29" s="4">
        <f>DV29-DW29</f>
        <v>21</v>
      </c>
      <c r="DZ29" s="1" t="str">
        <f>IF(AND(DQ28=DQ29,OR(DU28="draw",DU28="")),IF(DX28&gt;=DX29,DP29,DP28),DP29)</f>
        <v>Samoa</v>
      </c>
      <c r="EA29" s="1">
        <f>VLOOKUP(DZ29,$AG$27:$AO$31,9,FALSE)</f>
        <v>10</v>
      </c>
      <c r="EB29" s="1" t="str">
        <f>TEXT(DZ29,"")&amp;" vs "&amp;TEXT(DZ30,"")</f>
        <v>Samoa vs Uruguay</v>
      </c>
      <c r="EC29" s="1" t="str">
        <f>TEXT(DZ30,"")&amp;" vs "&amp;TEXT(DZ29,"")</f>
        <v>Uruguay vs Samoa</v>
      </c>
      <c r="ED29" s="4">
        <f>IF(ISERROR(VLOOKUP(EB29,RWC2003!$FW$11:$FX$50,2,FALSE)),VLOOKUP(EC29,RWC2003!$FW$11:$FX$50,2,FALSE),VLOOKUP(EB29,RWC2003!$FW$11:$FX$50,2,FALSE))</f>
        <v>12</v>
      </c>
      <c r="EE29" s="4" t="str">
        <f>VLOOKUP(ED29,$B$11:$AA$50,26)</f>
        <v>Samoa</v>
      </c>
      <c r="EF29" s="4">
        <f>VLOOKUP(DZ29,$AG$27:$AO$31,6,FALSE)</f>
        <v>138</v>
      </c>
      <c r="EG29" s="4">
        <f>VLOOKUP(DZ29,$AG$27:$AO$31,7,FALSE)</f>
        <v>117</v>
      </c>
      <c r="EH29" s="4">
        <f>EF29-EG29</f>
        <v>21</v>
      </c>
      <c r="EJ29" s="1" t="str">
        <f>IF(AND(EA29=EA30,OR(EE29="draw",EE29="")),IF(EH29&gt;=EH30,DZ29,DZ30),DZ29)</f>
        <v>Samoa</v>
      </c>
      <c r="EK29" s="1">
        <f>VLOOKUP(EJ29,$AG$27:$AO$31,9,FALSE)</f>
        <v>10</v>
      </c>
      <c r="EL29" s="1" t="str">
        <f>TEXT(EJ29,"")&amp;" vs "&amp;TEXT(EJ30,"")</f>
        <v>Samoa vs Uruguay</v>
      </c>
      <c r="EM29" s="1" t="str">
        <f>TEXT(EJ30,"")&amp;" vs "&amp;TEXT(EJ29,"")</f>
        <v>Uruguay vs Samoa</v>
      </c>
      <c r="EN29" s="4">
        <f>IF(ISERROR(VLOOKUP(EL29,RWC2003!$FW$11:$FX$50,2,FALSE)),VLOOKUP(EM29,RWC2003!$FW$11:$FX$50,2,FALSE),VLOOKUP(EL29,RWC2003!$FW$11:$FX$50,2,FALSE))</f>
        <v>12</v>
      </c>
      <c r="EO29" s="4" t="str">
        <f>VLOOKUP(EN29,$B$11:$AA$50,26)</f>
        <v>Samoa</v>
      </c>
      <c r="EP29" s="4">
        <f>VLOOKUP(EJ29,$AG$27:$AO$31,6,FALSE)</f>
        <v>138</v>
      </c>
      <c r="EQ29" s="4">
        <f>VLOOKUP(EJ29,$AG$27:$AO$31,7,FALSE)</f>
        <v>117</v>
      </c>
      <c r="ER29" s="4">
        <f>EP29-EQ29</f>
        <v>21</v>
      </c>
      <c r="ET29" s="1" t="str">
        <f>EJ29</f>
        <v>Samoa</v>
      </c>
      <c r="EU29" s="4">
        <f>VLOOKUP($ET29,$AG$27:$AP$31,2,FALSE)</f>
        <v>4</v>
      </c>
      <c r="EV29" s="4">
        <f>VLOOKUP($ET29,$AG$27:$AP$31,3,FALSE)</f>
        <v>2</v>
      </c>
      <c r="EW29" s="4">
        <f>VLOOKUP($ET29,$AG$27:$AP$31,4,FALSE)</f>
        <v>0</v>
      </c>
      <c r="EX29" s="4">
        <f>VLOOKUP($ET29,$AG$27:$AP$31,5,FALSE)</f>
        <v>2</v>
      </c>
      <c r="EY29" s="4">
        <f>VLOOKUP($ET29,$AG$27:$AP$31,6,FALSE)</f>
        <v>138</v>
      </c>
      <c r="EZ29" s="4">
        <f>VLOOKUP($ET29,$AG$27:$AP$31,7,FALSE)</f>
        <v>117</v>
      </c>
      <c r="FA29" s="4">
        <f>VLOOKUP($ET29,$AG$27:$AP$31,8,FALSE)</f>
        <v>2</v>
      </c>
      <c r="FB29" s="4">
        <f>VLOOKUP($ET29,$AG$27:$AP$31,9,FALSE)</f>
        <v>10</v>
      </c>
      <c r="FE29" s="69">
        <f t="shared" si="14"/>
        <v>37913.33333333333</v>
      </c>
      <c r="FF29" s="67"/>
      <c r="FG29" s="69">
        <f>FH29-(2/24)</f>
        <v>37913.83333333333</v>
      </c>
      <c r="FH29" s="69">
        <v>37913.916666666664</v>
      </c>
      <c r="FI29" s="69">
        <f t="shared" si="2"/>
        <v>37914</v>
      </c>
      <c r="FJ29" s="69">
        <f t="shared" si="9"/>
        <v>37913.58333333333</v>
      </c>
      <c r="FK29" s="69">
        <f t="shared" si="9"/>
        <v>37913.58333333333</v>
      </c>
      <c r="FL29" s="69">
        <f t="shared" si="10"/>
        <v>37913.541666666664</v>
      </c>
      <c r="FM29" s="69">
        <f t="shared" si="11"/>
        <v>37913.33333333333</v>
      </c>
      <c r="FN29" s="69">
        <f t="shared" si="12"/>
        <v>37913.20833333333</v>
      </c>
      <c r="FO29" s="69">
        <f t="shared" si="13"/>
        <v>37913.291666666664</v>
      </c>
      <c r="FP29" s="67"/>
      <c r="FT29" t="str">
        <f>TEXT(RWC2003!D29,"")&amp;" vs "&amp;TEXT(RWC2003!K29,"")</f>
        <v>Georgia vs Samoa</v>
      </c>
      <c r="FU29">
        <v>19</v>
      </c>
      <c r="FV29"/>
      <c r="FW29" t="s">
        <v>98</v>
      </c>
      <c r="FX29">
        <v>32</v>
      </c>
    </row>
    <row r="30" spans="2:180" ht="13.5" customHeight="1" thickBot="1">
      <c r="B30" s="1">
        <v>20</v>
      </c>
      <c r="C30" s="88">
        <f t="shared" si="3"/>
        <v>37914.229166666664</v>
      </c>
      <c r="D30" s="46" t="s">
        <v>35</v>
      </c>
      <c r="E30" s="46"/>
      <c r="F30" s="66">
        <v>5</v>
      </c>
      <c r="G30" s="74">
        <v>39</v>
      </c>
      <c r="H30" s="74">
        <v>15</v>
      </c>
      <c r="I30" s="47">
        <v>0</v>
      </c>
      <c r="J30" s="48"/>
      <c r="K30" s="49" t="s">
        <v>85</v>
      </c>
      <c r="L30" s="50" t="s">
        <v>12</v>
      </c>
      <c r="M30" s="51" t="s">
        <v>40</v>
      </c>
      <c r="N30" s="1" t="s">
        <v>69</v>
      </c>
      <c r="P30" s="77" t="str">
        <f t="shared" si="17"/>
        <v>Uruguay</v>
      </c>
      <c r="Q30" s="78">
        <f t="shared" si="17"/>
        <v>4</v>
      </c>
      <c r="R30" s="78">
        <f t="shared" si="17"/>
        <v>1</v>
      </c>
      <c r="S30" s="78">
        <f t="shared" si="17"/>
        <v>0</v>
      </c>
      <c r="T30" s="78">
        <f t="shared" si="17"/>
        <v>3</v>
      </c>
      <c r="U30" s="78">
        <f t="shared" si="17"/>
        <v>56</v>
      </c>
      <c r="V30" s="78">
        <f t="shared" si="17"/>
        <v>255</v>
      </c>
      <c r="W30" s="78">
        <f t="shared" si="18"/>
        <v>0</v>
      </c>
      <c r="X30" s="79">
        <f t="shared" si="18"/>
        <v>4</v>
      </c>
      <c r="Y30" s="4"/>
      <c r="Z30" s="4"/>
      <c r="AA30" s="1" t="str">
        <f t="shared" si="4"/>
        <v>Scotland</v>
      </c>
      <c r="AB30" s="1" t="str">
        <f t="shared" si="5"/>
        <v>USA</v>
      </c>
      <c r="AC30" s="1">
        <f t="shared" si="6"/>
      </c>
      <c r="AD30" s="1" t="str">
        <f t="shared" si="7"/>
        <v>Scotland</v>
      </c>
      <c r="AE30" s="1">
        <f t="shared" si="8"/>
      </c>
      <c r="AG30" s="1" t="s">
        <v>11</v>
      </c>
      <c r="AH30" s="4">
        <f>COUNT(sou)</f>
        <v>4</v>
      </c>
      <c r="AI30" s="4">
        <f>COUNTIF($AA$11:$AA$50,AG30)</f>
        <v>3</v>
      </c>
      <c r="AJ30" s="4">
        <f>AH30-AI30-AK30</f>
        <v>0</v>
      </c>
      <c r="AK30" s="4">
        <f>COUNTIF($AB$11:$AB$50,AG30)</f>
        <v>1</v>
      </c>
      <c r="AL30" s="4">
        <f>SUM(sou)</f>
        <v>184</v>
      </c>
      <c r="AM30" s="4">
        <f>SUM(sou_a)</f>
        <v>60</v>
      </c>
      <c r="AN30" s="4">
        <f>COUNTIF($AC$11:$AE$50,AG30)</f>
        <v>3</v>
      </c>
      <c r="AO30" s="4">
        <f>AI30*win_pts+AJ30*draw_pts+AK30*loss_pts+AN30</f>
        <v>15</v>
      </c>
      <c r="AQ30" s="1" t="str">
        <f>IF(AO30&lt;=AO29,AG30,AG29)</f>
        <v>Samoa</v>
      </c>
      <c r="AR30" s="1">
        <f>VLOOKUP(AQ30,$AG$27:$AO$31,9,FALSE)</f>
        <v>10</v>
      </c>
      <c r="AS30"/>
      <c r="AT30" s="1" t="str">
        <f>IF(AR30&gt;=AR31,AQ30,AQ31)</f>
        <v>Samoa</v>
      </c>
      <c r="AU30" s="1">
        <f>VLOOKUP(AT30,$AG$27:$AO$31,9,FALSE)</f>
        <v>10</v>
      </c>
      <c r="AW30" s="1" t="str">
        <f>IF(AU30&lt;=AU29,AT30,AT29)</f>
        <v>Georgia</v>
      </c>
      <c r="AX30" s="1">
        <f>VLOOKUP(AW30,$AG$27:$AO$31,9,FALSE)</f>
        <v>0</v>
      </c>
      <c r="AZ30" s="1" t="str">
        <f>IF(AX30&gt;=AX31,AW30,AW31)</f>
        <v>Uruguay</v>
      </c>
      <c r="BA30" s="1">
        <f>VLOOKUP(AZ30,$AG$27:$AO$31,9,FALSE)</f>
        <v>4</v>
      </c>
      <c r="BC30" s="1" t="str">
        <f>IF(BA30&lt;=BA29,AZ30,AZ29)</f>
        <v>Uruguay</v>
      </c>
      <c r="BD30" s="1">
        <f>VLOOKUP(BC30,$AG$27:$AO$31,9,FALSE)</f>
        <v>4</v>
      </c>
      <c r="BG30" s="4"/>
      <c r="BH30" s="4"/>
      <c r="BJ30" s="1" t="str">
        <f>IF(AND(BD29=BD30,BH29=BC30),BC29,BC30)</f>
        <v>Uruguay</v>
      </c>
      <c r="BK30" s="1">
        <f>VLOOKUP(BJ30,$AG$27:$AO$31,9,FALSE)</f>
        <v>4</v>
      </c>
      <c r="BL30" s="1" t="str">
        <f>TEXT(BJ30,"")&amp;" vs "&amp;TEXT(BJ31,"")</f>
        <v>Uruguay vs Georgia</v>
      </c>
      <c r="BM30" s="1" t="str">
        <f>TEXT(BJ31,"")&amp;" vs "&amp;TEXT(BJ30,"")</f>
        <v>Georgia vs Uruguay</v>
      </c>
      <c r="BN30" s="4">
        <f>IF(ISERROR(VLOOKUP(BL30,RWC2003!$FW$11:$FX$50,2,FALSE)),VLOOKUP(BM30,RWC2003!$FW$11:$FX$50,2,FALSE),VLOOKUP(BL30,RWC2003!$FW$11:$FX$50,2,FALSE))</f>
        <v>32</v>
      </c>
      <c r="BO30" s="4" t="str">
        <f>VLOOKUP(BN30,$B$11:$AA$50,26)</f>
        <v>Uruguay</v>
      </c>
      <c r="BQ30" s="1" t="str">
        <f>IF(AND(BK30=BK31,BO30=BJ31),BJ31,BJ30)</f>
        <v>Uruguay</v>
      </c>
      <c r="BR30" s="1">
        <f>VLOOKUP(BQ30,$AG$27:$AO$31,9,FALSE)</f>
        <v>4</v>
      </c>
      <c r="BU30" s="4"/>
      <c r="BV30" s="4"/>
      <c r="BX30" s="1" t="str">
        <f>IF(AND(BR29=BR30,BV29=BQ30),BQ29,BQ30)</f>
        <v>Uruguay</v>
      </c>
      <c r="BY30" s="1">
        <f>VLOOKUP(BX30,$AG$27:$AO$31,9,FALSE)</f>
        <v>4</v>
      </c>
      <c r="BZ30" s="1" t="str">
        <f>TEXT(BX30,"")&amp;" vs "&amp;TEXT(BX31,"")</f>
        <v>Uruguay vs Georgia</v>
      </c>
      <c r="CA30" s="1" t="str">
        <f>TEXT(BX31,"")&amp;" vs "&amp;TEXT(BX30,"")</f>
        <v>Georgia vs Uruguay</v>
      </c>
      <c r="CB30" s="4">
        <f>IF(ISERROR(VLOOKUP(BZ30,RWC2003!$FW$11:$FX$50,2,FALSE)),VLOOKUP(CA30,RWC2003!$FW$11:$FX$50,2,FALSE),VLOOKUP(BZ30,RWC2003!$FW$11:$FX$50,2,FALSE))</f>
        <v>32</v>
      </c>
      <c r="CC30" s="4" t="str">
        <f>VLOOKUP(CB30,$B$11:$AA$50,26)</f>
        <v>Uruguay</v>
      </c>
      <c r="CE30" s="1" t="str">
        <f>IF(AND(BY30=BY31,CC30=BX31),BX31,BX30)</f>
        <v>Uruguay</v>
      </c>
      <c r="CF30" s="1">
        <f>VLOOKUP(CE30,$AG$27:$AO$31,9,FALSE)</f>
        <v>4</v>
      </c>
      <c r="CI30" s="4"/>
      <c r="CJ30" s="4"/>
      <c r="CL30" s="1" t="str">
        <f>IF(AND(CF29=CF30,CJ29=CE30),CE29,CE30)</f>
        <v>Uruguay</v>
      </c>
      <c r="CM30" s="1">
        <f>VLOOKUP(CL30,$AG$27:$AO$31,9,FALSE)</f>
        <v>4</v>
      </c>
      <c r="CN30" s="1" t="str">
        <f>TEXT(CL30,"")&amp;" vs "&amp;TEXT(CL31,"")</f>
        <v>Uruguay vs Georgia</v>
      </c>
      <c r="CO30" s="1" t="str">
        <f>TEXT(CL31,"")&amp;" vs "&amp;TEXT(CL30,"")</f>
        <v>Georgia vs Uruguay</v>
      </c>
      <c r="CP30" s="4">
        <f>IF(ISERROR(VLOOKUP(CN30,RWC2003!$FW$11:$FX$50,2,FALSE)),VLOOKUP(CO30,RWC2003!$FW$11:$FX$50,2,FALSE),VLOOKUP(CN30,RWC2003!$FW$11:$FX$50,2,FALSE))</f>
        <v>32</v>
      </c>
      <c r="CQ30" s="4" t="str">
        <f>VLOOKUP(CP30,$B$11:$AA$50,26)</f>
        <v>Uruguay</v>
      </c>
      <c r="CR30" s="4">
        <f>VLOOKUP(CL30,$AG$27:$AO$31,6,FALSE)</f>
        <v>56</v>
      </c>
      <c r="CS30" s="4">
        <f>VLOOKUP(CL30,$AG$27:$AO$31,7,FALSE)</f>
        <v>255</v>
      </c>
      <c r="CT30" s="4">
        <f>CR30-CS30</f>
        <v>-199</v>
      </c>
      <c r="CV30" s="1" t="str">
        <f>IF(AND(CM29=CM30,OR(CQ29="draw",CQ29="")),IF(CT29&gt;=CT30,CL30,CL29),CL30)</f>
        <v>Uruguay</v>
      </c>
      <c r="CW30" s="1">
        <f>VLOOKUP(CV30,$AG$27:$AO$31,9,FALSE)</f>
        <v>4</v>
      </c>
      <c r="CX30" s="1" t="str">
        <f>TEXT(CV30,"")&amp;" vs "&amp;TEXT(CV31,"")</f>
        <v>Uruguay vs Georgia</v>
      </c>
      <c r="CY30" s="1" t="str">
        <f>TEXT(CV31,"")&amp;" vs "&amp;TEXT(CV30,"")</f>
        <v>Georgia vs Uruguay</v>
      </c>
      <c r="CZ30" s="4">
        <f>IF(ISERROR(VLOOKUP(CX30,RWC2003!$FW$11:$FX$50,2,FALSE)),VLOOKUP(CY30,RWC2003!$FW$11:$FX$50,2,FALSE),VLOOKUP(CX30,RWC2003!$FW$11:$FX$50,2,FALSE))</f>
        <v>32</v>
      </c>
      <c r="DA30" s="4" t="str">
        <f>VLOOKUP(CZ30,$B$11:$AA$50,26)</f>
        <v>Uruguay</v>
      </c>
      <c r="DB30" s="4">
        <f>VLOOKUP(CV30,$AG$27:$AO$31,6,FALSE)</f>
        <v>56</v>
      </c>
      <c r="DC30" s="4">
        <f>VLOOKUP(CV30,$AG$27:$AO$31,7,FALSE)</f>
        <v>255</v>
      </c>
      <c r="DD30" s="4">
        <f>DB30-DC30</f>
        <v>-199</v>
      </c>
      <c r="DF30" s="1" t="str">
        <f>IF(AND(CW30=CW31,OR(DA30="draw",DA30="")),IF(DD30&gt;=DD31,CV30,CV31),CV30)</f>
        <v>Uruguay</v>
      </c>
      <c r="DG30" s="1">
        <f>VLOOKUP(DF30,$AG$27:$AO$31,9,FALSE)</f>
        <v>4</v>
      </c>
      <c r="DH30" s="1" t="str">
        <f>TEXT(DF30,"")&amp;" vs "&amp;TEXT(DF31,"")</f>
        <v>Uruguay vs Georgia</v>
      </c>
      <c r="DI30" s="1" t="str">
        <f>TEXT(DF31,"")&amp;" vs "&amp;TEXT(DF30,"")</f>
        <v>Georgia vs Uruguay</v>
      </c>
      <c r="DJ30" s="4">
        <f>IF(ISERROR(VLOOKUP(DH30,RWC2003!$FW$11:$FX$50,2,FALSE)),VLOOKUP(DI30,RWC2003!$FW$11:$FX$50,2,FALSE),VLOOKUP(DH30,RWC2003!$FW$11:$FX$50,2,FALSE))</f>
        <v>32</v>
      </c>
      <c r="DK30" s="4" t="str">
        <f>VLOOKUP(DJ30,$B$11:$AA$50,26)</f>
        <v>Uruguay</v>
      </c>
      <c r="DL30" s="4">
        <f>VLOOKUP(DF30,$AG$27:$AO$31,6,FALSE)</f>
        <v>56</v>
      </c>
      <c r="DM30" s="4">
        <f>VLOOKUP(DF30,$AG$27:$AO$31,7,FALSE)</f>
        <v>255</v>
      </c>
      <c r="DN30" s="4">
        <f>DL30-DM30</f>
        <v>-199</v>
      </c>
      <c r="DP30" s="1" t="str">
        <f>IF(AND(DG29=DG30,OR(DK29="draw",DK29="")),IF(DN29&gt;=DN30,DF30,DF29),DF30)</f>
        <v>Uruguay</v>
      </c>
      <c r="DQ30" s="1">
        <f>VLOOKUP(DP30,$AG$27:$AO$31,9,FALSE)</f>
        <v>4</v>
      </c>
      <c r="DR30" s="1" t="str">
        <f>TEXT(DP30,"")&amp;" vs "&amp;TEXT(DP31,"")</f>
        <v>Uruguay vs Georgia</v>
      </c>
      <c r="DS30" s="1" t="str">
        <f>TEXT(DP31,"")&amp;" vs "&amp;TEXT(DP30,"")</f>
        <v>Georgia vs Uruguay</v>
      </c>
      <c r="DT30" s="4">
        <f>IF(ISERROR(VLOOKUP(DR30,RWC2003!$FW$11:$FX$50,2,FALSE)),VLOOKUP(DS30,RWC2003!$FW$11:$FX$50,2,FALSE),VLOOKUP(DR30,RWC2003!$FW$11:$FX$50,2,FALSE))</f>
        <v>32</v>
      </c>
      <c r="DU30" s="4" t="str">
        <f>VLOOKUP(DT30,$B$11:$AA$50,26)</f>
        <v>Uruguay</v>
      </c>
      <c r="DV30" s="4">
        <f>VLOOKUP(DP30,$AG$27:$AO$31,6,FALSE)</f>
        <v>56</v>
      </c>
      <c r="DW30" s="4">
        <f>VLOOKUP(DP30,$AG$27:$AO$31,7,FALSE)</f>
        <v>255</v>
      </c>
      <c r="DX30" s="4">
        <f>DV30-DW30</f>
        <v>-199</v>
      </c>
      <c r="DZ30" s="1" t="str">
        <f>IF(AND(DQ30=DQ31,OR(DU30="draw",DU30="")),IF(DX30&gt;=DX31,DP30,DP31),DP30)</f>
        <v>Uruguay</v>
      </c>
      <c r="EA30" s="1">
        <f>VLOOKUP(DZ30,$AG$27:$AO$31,9,FALSE)</f>
        <v>4</v>
      </c>
      <c r="EB30" s="1" t="str">
        <f>TEXT(DZ30,"")&amp;" vs "&amp;TEXT(DZ31,"")</f>
        <v>Uruguay vs Georgia</v>
      </c>
      <c r="EC30" s="1" t="str">
        <f>TEXT(DZ31,"")&amp;" vs "&amp;TEXT(DZ30,"")</f>
        <v>Georgia vs Uruguay</v>
      </c>
      <c r="ED30" s="4">
        <f>IF(ISERROR(VLOOKUP(EB30,RWC2003!$FW$11:$FX$50,2,FALSE)),VLOOKUP(EC30,RWC2003!$FW$11:$FX$50,2,FALSE),VLOOKUP(EB30,RWC2003!$FW$11:$FX$50,2,FALSE))</f>
        <v>32</v>
      </c>
      <c r="EE30" s="4" t="str">
        <f>VLOOKUP(ED30,$B$11:$AA$50,26)</f>
        <v>Uruguay</v>
      </c>
      <c r="EF30" s="4">
        <f>VLOOKUP(DZ30,$AG$27:$AO$31,6,FALSE)</f>
        <v>56</v>
      </c>
      <c r="EG30" s="4">
        <f>VLOOKUP(DZ30,$AG$27:$AO$31,7,FALSE)</f>
        <v>255</v>
      </c>
      <c r="EH30" s="4">
        <f>EF30-EG30</f>
        <v>-199</v>
      </c>
      <c r="EJ30" s="1" t="str">
        <f>IF(AND(EA29=EA30,OR(EE29="draw",EE29="")),IF(EH29&gt;=EH30,DZ30,DZ29),DZ30)</f>
        <v>Uruguay</v>
      </c>
      <c r="EK30" s="1">
        <f>VLOOKUP(EJ30,$AG$27:$AO$31,9,FALSE)</f>
        <v>4</v>
      </c>
      <c r="EL30" s="1" t="str">
        <f>TEXT(EJ30,"")&amp;" vs "&amp;TEXT(EJ31,"")</f>
        <v>Uruguay vs Georgia</v>
      </c>
      <c r="EM30" s="1" t="str">
        <f>TEXT(EJ31,"")&amp;" vs "&amp;TEXT(EJ30,"")</f>
        <v>Georgia vs Uruguay</v>
      </c>
      <c r="EN30" s="4">
        <f>IF(ISERROR(VLOOKUP(EL30,RWC2003!$FW$11:$FX$50,2,FALSE)),VLOOKUP(EM30,RWC2003!$FW$11:$FX$50,2,FALSE),VLOOKUP(EL30,RWC2003!$FW$11:$FX$50,2,FALSE))</f>
        <v>32</v>
      </c>
      <c r="EO30" s="4" t="str">
        <f>VLOOKUP(EN30,$B$11:$AA$50,26)</f>
        <v>Uruguay</v>
      </c>
      <c r="EP30" s="4">
        <f>VLOOKUP(EJ30,$AG$27:$AO$31,6,FALSE)</f>
        <v>56</v>
      </c>
      <c r="EQ30" s="4">
        <f>VLOOKUP(EJ30,$AG$27:$AO$31,7,FALSE)</f>
        <v>255</v>
      </c>
      <c r="ER30" s="4">
        <f>EP30-EQ30</f>
        <v>-199</v>
      </c>
      <c r="ET30" s="1" t="str">
        <f>EJ30</f>
        <v>Uruguay</v>
      </c>
      <c r="EU30" s="4">
        <f>VLOOKUP($ET30,$AG$27:$AP$31,2,FALSE)</f>
        <v>4</v>
      </c>
      <c r="EV30" s="4">
        <f>VLOOKUP($ET30,$AG$27:$AP$31,3,FALSE)</f>
        <v>1</v>
      </c>
      <c r="EW30" s="4">
        <f>VLOOKUP($ET30,$AG$27:$AP$31,4,FALSE)</f>
        <v>0</v>
      </c>
      <c r="EX30" s="4">
        <f>VLOOKUP($ET30,$AG$27:$AP$31,5,FALSE)</f>
        <v>3</v>
      </c>
      <c r="EY30" s="4">
        <f>VLOOKUP($ET30,$AG$27:$AP$31,6,FALSE)</f>
        <v>56</v>
      </c>
      <c r="EZ30" s="4">
        <f>VLOOKUP($ET30,$AG$27:$AP$31,7,FALSE)</f>
        <v>255</v>
      </c>
      <c r="FA30" s="4">
        <f>VLOOKUP($ET30,$AG$27:$AP$31,8,FALSE)</f>
        <v>0</v>
      </c>
      <c r="FB30" s="4">
        <f>VLOOKUP($ET30,$AG$27:$AP$31,9,FALSE)</f>
        <v>4</v>
      </c>
      <c r="FE30" s="69">
        <f t="shared" si="14"/>
        <v>37914.229166666664</v>
      </c>
      <c r="FF30" s="67"/>
      <c r="FG30" s="69">
        <f aca="true" t="shared" si="19" ref="FG30:FG35">FH30</f>
        <v>37914.8125</v>
      </c>
      <c r="FH30" s="69">
        <v>37914.8125</v>
      </c>
      <c r="FI30" s="69">
        <f t="shared" si="2"/>
        <v>37914.895833333336</v>
      </c>
      <c r="FJ30" s="69">
        <f t="shared" si="9"/>
        <v>37914.479166666664</v>
      </c>
      <c r="FK30" s="69">
        <f t="shared" si="9"/>
        <v>37914.479166666664</v>
      </c>
      <c r="FL30" s="69">
        <f t="shared" si="10"/>
        <v>37914.4375</v>
      </c>
      <c r="FM30" s="69">
        <f t="shared" si="11"/>
        <v>37914.229166666664</v>
      </c>
      <c r="FN30" s="69">
        <f t="shared" si="12"/>
        <v>37914.104166666664</v>
      </c>
      <c r="FO30" s="69">
        <f t="shared" si="13"/>
        <v>37914.1875</v>
      </c>
      <c r="FP30" s="67"/>
      <c r="FT30" t="str">
        <f>TEXT(RWC2003!D30,"")&amp;" vs "&amp;TEXT(RWC2003!K30,"")</f>
        <v>Scotland vs USA</v>
      </c>
      <c r="FU30">
        <v>20</v>
      </c>
      <c r="FV30"/>
      <c r="FW30" t="s">
        <v>112</v>
      </c>
      <c r="FX30">
        <v>18</v>
      </c>
    </row>
    <row r="31" spans="2:180" ht="13.5" customHeight="1" thickBot="1">
      <c r="B31" s="1">
        <v>21</v>
      </c>
      <c r="C31" s="88">
        <f t="shared" si="3"/>
        <v>37915.229166666664</v>
      </c>
      <c r="D31" s="46" t="s">
        <v>76</v>
      </c>
      <c r="E31" s="46"/>
      <c r="F31" s="66">
        <v>1</v>
      </c>
      <c r="G31" s="74">
        <v>19</v>
      </c>
      <c r="H31" s="74">
        <v>14</v>
      </c>
      <c r="I31" s="47">
        <v>1</v>
      </c>
      <c r="J31" s="48"/>
      <c r="K31" s="49" t="s">
        <v>74</v>
      </c>
      <c r="L31" s="50" t="s">
        <v>5</v>
      </c>
      <c r="M31" s="51" t="s">
        <v>47</v>
      </c>
      <c r="N31" s="1" t="s">
        <v>48</v>
      </c>
      <c r="P31" s="80" t="str">
        <f t="shared" si="17"/>
        <v>Georgia</v>
      </c>
      <c r="Q31" s="81">
        <f t="shared" si="17"/>
        <v>4</v>
      </c>
      <c r="R31" s="81">
        <f t="shared" si="17"/>
        <v>0</v>
      </c>
      <c r="S31" s="81">
        <f t="shared" si="17"/>
        <v>0</v>
      </c>
      <c r="T31" s="81">
        <f t="shared" si="17"/>
        <v>4</v>
      </c>
      <c r="U31" s="81">
        <f t="shared" si="17"/>
        <v>46</v>
      </c>
      <c r="V31" s="81">
        <f t="shared" si="17"/>
        <v>200</v>
      </c>
      <c r="W31" s="81">
        <f t="shared" si="18"/>
        <v>0</v>
      </c>
      <c r="X31" s="82">
        <f t="shared" si="18"/>
        <v>0</v>
      </c>
      <c r="Y31" s="4"/>
      <c r="Z31" s="4"/>
      <c r="AA31" s="1" t="str">
        <f t="shared" si="4"/>
        <v>Italy</v>
      </c>
      <c r="AB31" s="1" t="str">
        <f t="shared" si="5"/>
        <v>Canada</v>
      </c>
      <c r="AC31" s="1" t="str">
        <f t="shared" si="6"/>
        <v>Canada</v>
      </c>
      <c r="AD31" s="1">
        <f t="shared" si="7"/>
      </c>
      <c r="AE31" s="1">
        <f t="shared" si="8"/>
      </c>
      <c r="AG31" s="1" t="s">
        <v>73</v>
      </c>
      <c r="AH31" s="4">
        <f>COUNT(uru)</f>
        <v>4</v>
      </c>
      <c r="AI31" s="4">
        <f>COUNTIF($AA$11:$AA$50,AG31)</f>
        <v>1</v>
      </c>
      <c r="AJ31" s="4">
        <f>AH31-AI31-AK31</f>
        <v>0</v>
      </c>
      <c r="AK31" s="4">
        <f>COUNTIF($AB$11:$AB$50,AG31)</f>
        <v>3</v>
      </c>
      <c r="AL31" s="4">
        <f>SUM(uru)</f>
        <v>56</v>
      </c>
      <c r="AM31" s="4">
        <f>SUM(uru_a)</f>
        <v>255</v>
      </c>
      <c r="AN31" s="4">
        <f>COUNTIF($AC$11:$AE$50,AG31)</f>
        <v>0</v>
      </c>
      <c r="AO31" s="4">
        <f>AI31*win_pts+AJ31*draw_pts+AK31*loss_pts+AN31</f>
        <v>4</v>
      </c>
      <c r="AQ31" s="1" t="str">
        <f>AG31</f>
        <v>Uruguay</v>
      </c>
      <c r="AR31" s="1">
        <f>VLOOKUP(AQ31,$AG$27:$AO$31,9,FALSE)</f>
        <v>4</v>
      </c>
      <c r="AS31"/>
      <c r="AT31" s="1" t="str">
        <f>IF(AR31&lt;=AR30,AQ31,AQ30)</f>
        <v>Uruguay</v>
      </c>
      <c r="AU31" s="1">
        <f>VLOOKUP(AT31,$AG$27:$AO$31,9,FALSE)</f>
        <v>4</v>
      </c>
      <c r="AW31" s="1" t="str">
        <f>AT31</f>
        <v>Uruguay</v>
      </c>
      <c r="AX31" s="1">
        <f>AU31</f>
        <v>4</v>
      </c>
      <c r="AZ31" s="1" t="str">
        <f>IF(AX31&lt;=AX30,AW31,AW30)</f>
        <v>Georgia</v>
      </c>
      <c r="BA31" s="1">
        <f>VLOOKUP(AZ31,$AG$27:$AO$31,9,FALSE)</f>
        <v>0</v>
      </c>
      <c r="BC31" s="1" t="str">
        <f>AZ31</f>
        <v>Georgia</v>
      </c>
      <c r="BD31" s="1">
        <f>BA31</f>
        <v>0</v>
      </c>
      <c r="BG31" s="4"/>
      <c r="BH31" s="4"/>
      <c r="BJ31" s="1" t="str">
        <f>BC31</f>
        <v>Georgia</v>
      </c>
      <c r="BK31" s="1">
        <f>BH31</f>
        <v>0</v>
      </c>
      <c r="BN31" s="4"/>
      <c r="BO31" s="4"/>
      <c r="BQ31" s="1" t="str">
        <f>IF(AND(BK30=BK31,BO30=BJ31),BJ30,BJ31)</f>
        <v>Georgia</v>
      </c>
      <c r="BR31" s="1">
        <f>BO31</f>
        <v>0</v>
      </c>
      <c r="BU31" s="4"/>
      <c r="BV31" s="4"/>
      <c r="BX31" s="1" t="str">
        <f>BQ31</f>
        <v>Georgia</v>
      </c>
      <c r="BY31" s="1">
        <f>BV31</f>
        <v>0</v>
      </c>
      <c r="CB31" s="4"/>
      <c r="CC31" s="4"/>
      <c r="CE31" s="1" t="str">
        <f>IF(AND(BY30=BY31,CC30=BX31),BX30,BX31)</f>
        <v>Georgia</v>
      </c>
      <c r="CF31" s="1">
        <f>CC31</f>
        <v>0</v>
      </c>
      <c r="CI31" s="4"/>
      <c r="CJ31" s="4"/>
      <c r="CL31" s="1" t="str">
        <f>CE31</f>
        <v>Georgia</v>
      </c>
      <c r="CM31" s="1">
        <f>CJ31</f>
        <v>0</v>
      </c>
      <c r="CR31" s="4">
        <f>VLOOKUP(CL31,$AG$27:$AO$31,6,FALSE)</f>
        <v>46</v>
      </c>
      <c r="CS31" s="4">
        <f>VLOOKUP(CL31,$AG$27:$AO$31,7,FALSE)</f>
        <v>200</v>
      </c>
      <c r="CT31" s="4">
        <f>CR31-CS31</f>
        <v>-154</v>
      </c>
      <c r="CV31" s="1" t="str">
        <f>CL31</f>
        <v>Georgia</v>
      </c>
      <c r="CW31" s="1">
        <f>VLOOKUP(CV31,$AG$27:$AO$31,9,FALSE)</f>
        <v>0</v>
      </c>
      <c r="DB31" s="4">
        <f>VLOOKUP(CV31,$AG$27:$AO$31,6,FALSE)</f>
        <v>46</v>
      </c>
      <c r="DC31" s="4">
        <f>VLOOKUP(CV31,$AG$27:$AO$31,7,FALSE)</f>
        <v>200</v>
      </c>
      <c r="DD31" s="4">
        <f>DB31-DC31</f>
        <v>-154</v>
      </c>
      <c r="DF31" s="1" t="str">
        <f>IF(AND(CW30=CW31,OR(DA30="draw",DA30="")),IF(DD30&gt;=DD31,CV31,CV30),CV31)</f>
        <v>Georgia</v>
      </c>
      <c r="DG31" s="1">
        <f>VLOOKUP(DF31,$AG$27:$AO$31,9,FALSE)</f>
        <v>0</v>
      </c>
      <c r="DL31" s="4">
        <f>VLOOKUP(DF31,$AG$27:$AO$31,6,FALSE)</f>
        <v>46</v>
      </c>
      <c r="DM31" s="4">
        <f>VLOOKUP(DF31,$AG$27:$AO$31,7,FALSE)</f>
        <v>200</v>
      </c>
      <c r="DN31" s="4">
        <f>DL31-DM31</f>
        <v>-154</v>
      </c>
      <c r="DP31" s="1" t="str">
        <f>DF31</f>
        <v>Georgia</v>
      </c>
      <c r="DQ31" s="1">
        <f>VLOOKUP(DP31,$AG$27:$AO$31,9,FALSE)</f>
        <v>0</v>
      </c>
      <c r="DV31" s="4">
        <f>VLOOKUP(DP31,$AG$27:$AO$31,6,FALSE)</f>
        <v>46</v>
      </c>
      <c r="DW31" s="4">
        <f>VLOOKUP(DP31,$AG$27:$AO$31,7,FALSE)</f>
        <v>200</v>
      </c>
      <c r="DX31" s="4">
        <f>DV31-DW31</f>
        <v>-154</v>
      </c>
      <c r="DZ31" s="1" t="str">
        <f>IF(AND(DQ30=DQ31,OR(DU30="draw",DU30="")),IF(DX30&gt;=DX31,DP31,DP30),DP31)</f>
        <v>Georgia</v>
      </c>
      <c r="EA31" s="1">
        <f>VLOOKUP(DZ31,$AG$27:$AO$31,9,FALSE)</f>
        <v>0</v>
      </c>
      <c r="EF31" s="4">
        <f>VLOOKUP(DZ31,$AG$27:$AO$31,6,FALSE)</f>
        <v>46</v>
      </c>
      <c r="EG31" s="4">
        <f>VLOOKUP(DZ31,$AG$27:$AO$31,7,FALSE)</f>
        <v>200</v>
      </c>
      <c r="EH31" s="4">
        <f>EF31-EG31</f>
        <v>-154</v>
      </c>
      <c r="EJ31" s="1" t="str">
        <f>DZ31</f>
        <v>Georgia</v>
      </c>
      <c r="EK31" s="1">
        <f>VLOOKUP(EJ31,$AG$27:$AO$31,9,FALSE)</f>
        <v>0</v>
      </c>
      <c r="EP31" s="4">
        <f>VLOOKUP(EJ31,$AG$27:$AO$31,6,FALSE)</f>
        <v>46</v>
      </c>
      <c r="EQ31" s="4">
        <f>VLOOKUP(EJ31,$AG$27:$AO$31,7,FALSE)</f>
        <v>200</v>
      </c>
      <c r="ER31" s="4">
        <f>EP31-EQ31</f>
        <v>-154</v>
      </c>
      <c r="ET31" s="1" t="str">
        <f>EJ31</f>
        <v>Georgia</v>
      </c>
      <c r="EU31" s="4">
        <f>VLOOKUP($ET31,$AG$27:$AP$31,2,FALSE)</f>
        <v>4</v>
      </c>
      <c r="EV31" s="4">
        <f>VLOOKUP($ET31,$AG$27:$AP$31,3,FALSE)</f>
        <v>0</v>
      </c>
      <c r="EW31" s="4">
        <f>VLOOKUP($ET31,$AG$27:$AP$31,4,FALSE)</f>
        <v>0</v>
      </c>
      <c r="EX31" s="4">
        <f>VLOOKUP($ET31,$AG$27:$AP$31,5,FALSE)</f>
        <v>4</v>
      </c>
      <c r="EY31" s="4">
        <f>VLOOKUP($ET31,$AG$27:$AP$31,6,FALSE)</f>
        <v>46</v>
      </c>
      <c r="EZ31" s="4">
        <f>VLOOKUP($ET31,$AG$27:$AP$31,7,FALSE)</f>
        <v>200</v>
      </c>
      <c r="FA31" s="4">
        <f>VLOOKUP($ET31,$AG$27:$AP$31,8,FALSE)</f>
        <v>0</v>
      </c>
      <c r="FB31" s="4">
        <f>VLOOKUP($ET31,$AG$27:$AP$31,9,FALSE)</f>
        <v>0</v>
      </c>
      <c r="FE31" s="69">
        <f t="shared" si="14"/>
        <v>37915.229166666664</v>
      </c>
      <c r="FF31" s="67"/>
      <c r="FG31" s="69">
        <f t="shared" si="19"/>
        <v>37915.8125</v>
      </c>
      <c r="FH31" s="69">
        <v>37915.8125</v>
      </c>
      <c r="FI31" s="69">
        <f t="shared" si="2"/>
        <v>37915.895833333336</v>
      </c>
      <c r="FJ31" s="69">
        <f t="shared" si="9"/>
        <v>37915.479166666664</v>
      </c>
      <c r="FK31" s="69">
        <f t="shared" si="9"/>
        <v>37915.479166666664</v>
      </c>
      <c r="FL31" s="69">
        <f t="shared" si="10"/>
        <v>37915.4375</v>
      </c>
      <c r="FM31" s="69">
        <f t="shared" si="11"/>
        <v>37915.229166666664</v>
      </c>
      <c r="FN31" s="69">
        <f t="shared" si="12"/>
        <v>37915.104166666664</v>
      </c>
      <c r="FO31" s="69">
        <f t="shared" si="13"/>
        <v>37915.1875</v>
      </c>
      <c r="FP31" s="67"/>
      <c r="FT31" t="str">
        <f>TEXT(RWC2003!D31,"")&amp;" vs "&amp;TEXT(RWC2003!K31,"")</f>
        <v>Italy vs Canada</v>
      </c>
      <c r="FU31">
        <v>21</v>
      </c>
      <c r="FV31"/>
      <c r="FW31" t="s">
        <v>127</v>
      </c>
      <c r="FX31">
        <v>3</v>
      </c>
    </row>
    <row r="32" spans="1:180" ht="13.5" customHeight="1" thickBot="1">
      <c r="A32" s="76"/>
      <c r="B32" s="1">
        <v>22</v>
      </c>
      <c r="C32" s="88">
        <f t="shared" si="3"/>
        <v>37916.27083333333</v>
      </c>
      <c r="D32" s="46" t="s">
        <v>34</v>
      </c>
      <c r="E32" s="46"/>
      <c r="F32" s="66">
        <v>7</v>
      </c>
      <c r="G32" s="74">
        <v>50</v>
      </c>
      <c r="H32" s="74">
        <v>3</v>
      </c>
      <c r="I32" s="47">
        <v>0</v>
      </c>
      <c r="J32" s="48"/>
      <c r="K32" s="49" t="s">
        <v>78</v>
      </c>
      <c r="L32" s="50" t="s">
        <v>10</v>
      </c>
      <c r="M32" s="51" t="s">
        <v>33</v>
      </c>
      <c r="N32" s="1" t="s">
        <v>49</v>
      </c>
      <c r="Y32" s="4"/>
      <c r="Z32" s="4"/>
      <c r="AA32" s="1" t="str">
        <f t="shared" si="4"/>
        <v>Argentina</v>
      </c>
      <c r="AB32" s="1" t="str">
        <f t="shared" si="5"/>
        <v>Romania</v>
      </c>
      <c r="AC32" s="1">
        <f t="shared" si="6"/>
      </c>
      <c r="AD32" s="1" t="str">
        <f t="shared" si="7"/>
        <v>Argentina</v>
      </c>
      <c r="AE32" s="1">
        <f t="shared" si="8"/>
      </c>
      <c r="AH32" s="4"/>
      <c r="AI32" s="4"/>
      <c r="AJ32" s="4"/>
      <c r="AK32" s="4"/>
      <c r="AL32" s="4"/>
      <c r="AM32" s="4"/>
      <c r="AN32" s="4"/>
      <c r="AO32" s="4"/>
      <c r="AS32"/>
      <c r="CK32" s="4"/>
      <c r="EU32" s="4"/>
      <c r="EV32" s="4"/>
      <c r="EW32" s="4"/>
      <c r="EX32" s="4"/>
      <c r="EY32" s="4"/>
      <c r="EZ32" s="4"/>
      <c r="FA32" s="4"/>
      <c r="FB32" s="4"/>
      <c r="FE32" s="69">
        <f t="shared" si="14"/>
        <v>37916.27083333333</v>
      </c>
      <c r="FF32" s="67"/>
      <c r="FG32" s="69">
        <f t="shared" si="19"/>
        <v>37916.854166666664</v>
      </c>
      <c r="FH32" s="69">
        <v>37916.854166666664</v>
      </c>
      <c r="FI32" s="69">
        <f t="shared" si="2"/>
        <v>37916.9375</v>
      </c>
      <c r="FJ32" s="69">
        <f t="shared" si="9"/>
        <v>37916.52083333333</v>
      </c>
      <c r="FK32" s="69">
        <f t="shared" si="9"/>
        <v>37916.52083333333</v>
      </c>
      <c r="FL32" s="69">
        <f t="shared" si="10"/>
        <v>37916.479166666664</v>
      </c>
      <c r="FM32" s="69">
        <f t="shared" si="11"/>
        <v>37916.27083333333</v>
      </c>
      <c r="FN32" s="69">
        <f t="shared" si="12"/>
        <v>37916.14583333333</v>
      </c>
      <c r="FO32" s="69">
        <f t="shared" si="13"/>
        <v>37916.229166666664</v>
      </c>
      <c r="FP32" s="67"/>
      <c r="FT32" t="str">
        <f>TEXT(RWC2003!D32,"")&amp;" vs "&amp;TEXT(RWC2003!K32,"")</f>
        <v>Argentina vs Romania</v>
      </c>
      <c r="FU32">
        <v>22</v>
      </c>
      <c r="FV32"/>
      <c r="FW32" t="s">
        <v>109</v>
      </c>
      <c r="FX32">
        <v>21</v>
      </c>
    </row>
    <row r="33" spans="2:180" ht="13.5" customHeight="1" thickBot="1">
      <c r="B33" s="1">
        <v>23</v>
      </c>
      <c r="C33" s="88">
        <f t="shared" si="3"/>
        <v>37917.25</v>
      </c>
      <c r="D33" s="46" t="s">
        <v>70</v>
      </c>
      <c r="E33" s="46"/>
      <c r="F33" s="66">
        <v>5</v>
      </c>
      <c r="G33" s="74">
        <v>41</v>
      </c>
      <c r="H33" s="74">
        <v>13</v>
      </c>
      <c r="I33" s="47">
        <v>1</v>
      </c>
      <c r="J33" s="48"/>
      <c r="K33" s="49" t="s">
        <v>71</v>
      </c>
      <c r="L33" s="50" t="s">
        <v>12</v>
      </c>
      <c r="M33" s="51" t="s">
        <v>45</v>
      </c>
      <c r="N33" s="1" t="s">
        <v>46</v>
      </c>
      <c r="Y33" s="4"/>
      <c r="Z33" s="4"/>
      <c r="AA33" s="1" t="str">
        <f t="shared" si="4"/>
        <v>Fiji</v>
      </c>
      <c r="AB33" s="1" t="str">
        <f t="shared" si="5"/>
        <v>Japan</v>
      </c>
      <c r="AC33" s="1">
        <f t="shared" si="6"/>
      </c>
      <c r="AD33" s="1" t="str">
        <f t="shared" si="7"/>
        <v>Fiji</v>
      </c>
      <c r="AE33" s="1">
        <f t="shared" si="8"/>
      </c>
      <c r="CK33" s="4"/>
      <c r="FE33" s="69">
        <f t="shared" si="14"/>
        <v>37917.25</v>
      </c>
      <c r="FF33" s="67"/>
      <c r="FG33" s="69">
        <f t="shared" si="19"/>
        <v>37917.833333333336</v>
      </c>
      <c r="FH33" s="69">
        <v>37917.833333333336</v>
      </c>
      <c r="FI33" s="69">
        <f t="shared" si="2"/>
        <v>37917.91666666667</v>
      </c>
      <c r="FJ33" s="69">
        <f t="shared" si="9"/>
        <v>37917.5</v>
      </c>
      <c r="FK33" s="69">
        <f t="shared" si="9"/>
        <v>37917.5</v>
      </c>
      <c r="FL33" s="69">
        <f t="shared" si="10"/>
        <v>37917.458333333336</v>
      </c>
      <c r="FM33" s="69">
        <f t="shared" si="11"/>
        <v>37917.25</v>
      </c>
      <c r="FN33" s="69">
        <f t="shared" si="12"/>
        <v>37917.125</v>
      </c>
      <c r="FO33" s="69">
        <f t="shared" si="13"/>
        <v>37917.208333333336</v>
      </c>
      <c r="FP33" s="67"/>
      <c r="FT33" t="str">
        <f>TEXT(RWC2003!D33,"")&amp;" vs "&amp;TEXT(RWC2003!K33,"")</f>
        <v>Fiji vs Japan</v>
      </c>
      <c r="FU33">
        <v>23</v>
      </c>
      <c r="FV33"/>
      <c r="FW33" t="s">
        <v>119</v>
      </c>
      <c r="FX33">
        <v>11</v>
      </c>
    </row>
    <row r="34" spans="2:180" ht="13.5" customHeight="1" thickBot="1">
      <c r="B34" s="1">
        <v>24</v>
      </c>
      <c r="C34" s="88">
        <f t="shared" si="3"/>
        <v>37918.14583333333</v>
      </c>
      <c r="D34" s="46" t="s">
        <v>28</v>
      </c>
      <c r="E34" s="46"/>
      <c r="F34" s="66">
        <v>13</v>
      </c>
      <c r="G34" s="74">
        <v>91</v>
      </c>
      <c r="H34" s="74">
        <v>7</v>
      </c>
      <c r="I34" s="47">
        <v>1</v>
      </c>
      <c r="J34" s="48"/>
      <c r="K34" s="49" t="s">
        <v>80</v>
      </c>
      <c r="L34" s="50" t="s">
        <v>5</v>
      </c>
      <c r="M34" s="51" t="s">
        <v>40</v>
      </c>
      <c r="N34" s="1" t="s">
        <v>69</v>
      </c>
      <c r="P34" s="56" t="s">
        <v>59</v>
      </c>
      <c r="Q34" s="18"/>
      <c r="R34" s="18"/>
      <c r="S34" s="18"/>
      <c r="T34" s="18"/>
      <c r="U34" s="18"/>
      <c r="V34" s="18"/>
      <c r="W34" s="18"/>
      <c r="X34" s="19"/>
      <c r="AA34" s="1" t="str">
        <f t="shared" si="4"/>
        <v>New Zealand</v>
      </c>
      <c r="AB34" s="1" t="str">
        <f t="shared" si="5"/>
        <v>Tonga</v>
      </c>
      <c r="AC34" s="1">
        <f t="shared" si="6"/>
      </c>
      <c r="AD34" s="1" t="str">
        <f t="shared" si="7"/>
        <v>New Zealand</v>
      </c>
      <c r="AE34" s="1">
        <f t="shared" si="8"/>
      </c>
      <c r="AG34" s="2" t="s">
        <v>59</v>
      </c>
      <c r="FE34" s="69">
        <f t="shared" si="14"/>
        <v>37918.14583333333</v>
      </c>
      <c r="FF34" s="67"/>
      <c r="FG34" s="69">
        <f t="shared" si="19"/>
        <v>37918.729166666664</v>
      </c>
      <c r="FH34" s="69">
        <v>37918.729166666664</v>
      </c>
      <c r="FI34" s="69">
        <f t="shared" si="2"/>
        <v>37918.8125</v>
      </c>
      <c r="FJ34" s="69">
        <f t="shared" si="9"/>
        <v>37918.39583333333</v>
      </c>
      <c r="FK34" s="69">
        <f t="shared" si="9"/>
        <v>37918.39583333333</v>
      </c>
      <c r="FL34" s="69">
        <f t="shared" si="10"/>
        <v>37918.354166666664</v>
      </c>
      <c r="FM34" s="69">
        <f t="shared" si="11"/>
        <v>37918.14583333333</v>
      </c>
      <c r="FN34" s="69">
        <f t="shared" si="12"/>
        <v>37918.02083333333</v>
      </c>
      <c r="FO34" s="69">
        <f t="shared" si="13"/>
        <v>37918.104166666664</v>
      </c>
      <c r="FP34" s="67"/>
      <c r="FT34" t="str">
        <f>TEXT(RWC2003!D34,"")&amp;" vs "&amp;TEXT(RWC2003!K34,"")</f>
        <v>New Zealand vs Tonga</v>
      </c>
      <c r="FU34">
        <v>24</v>
      </c>
      <c r="FV34"/>
      <c r="FW34" t="s">
        <v>103</v>
      </c>
      <c r="FX34">
        <v>27</v>
      </c>
    </row>
    <row r="35" spans="2:180" ht="13.5" customHeight="1" thickBot="1">
      <c r="B35" s="1">
        <v>25</v>
      </c>
      <c r="C35" s="88">
        <f t="shared" si="3"/>
        <v>37918.25</v>
      </c>
      <c r="D35" s="46" t="s">
        <v>11</v>
      </c>
      <c r="E35" s="46"/>
      <c r="F35" s="66">
        <v>7</v>
      </c>
      <c r="G35" s="74">
        <v>46</v>
      </c>
      <c r="H35" s="74">
        <v>19</v>
      </c>
      <c r="I35" s="47">
        <v>1</v>
      </c>
      <c r="J35" s="48"/>
      <c r="K35" s="49" t="s">
        <v>79</v>
      </c>
      <c r="L35" s="50" t="s">
        <v>13</v>
      </c>
      <c r="M35" s="51" t="s">
        <v>33</v>
      </c>
      <c r="N35" s="1" t="s">
        <v>49</v>
      </c>
      <c r="P35" s="14"/>
      <c r="Q35" s="24" t="str">
        <f>$Q$8</f>
        <v>P</v>
      </c>
      <c r="R35" s="24" t="str">
        <f>$R$8</f>
        <v>W</v>
      </c>
      <c r="S35" s="24" t="str">
        <f>$S$8</f>
        <v>D</v>
      </c>
      <c r="T35" s="24" t="str">
        <f>$T$8</f>
        <v>L</v>
      </c>
      <c r="U35" s="24" t="str">
        <f>$U$8</f>
        <v>For</v>
      </c>
      <c r="V35" s="24" t="str">
        <f>$V$8</f>
        <v>Agst</v>
      </c>
      <c r="W35" s="24" t="s">
        <v>84</v>
      </c>
      <c r="X35" s="25" t="str">
        <f>$X$8</f>
        <v>Points</v>
      </c>
      <c r="AA35" s="1" t="str">
        <f t="shared" si="4"/>
        <v>South Africa</v>
      </c>
      <c r="AB35" s="1" t="str">
        <f t="shared" si="5"/>
        <v>Georgia</v>
      </c>
      <c r="AC35" s="1">
        <f t="shared" si="6"/>
      </c>
      <c r="AD35" s="1" t="str">
        <f t="shared" si="7"/>
        <v>South Africa</v>
      </c>
      <c r="AE35" s="1">
        <f t="shared" si="8"/>
      </c>
      <c r="AH35" s="4" t="s">
        <v>3</v>
      </c>
      <c r="AI35" s="4" t="s">
        <v>4</v>
      </c>
      <c r="AJ35" s="4" t="s">
        <v>5</v>
      </c>
      <c r="AK35" s="4" t="s">
        <v>6</v>
      </c>
      <c r="AL35" s="4" t="s">
        <v>7</v>
      </c>
      <c r="AM35" s="4" t="s">
        <v>14</v>
      </c>
      <c r="AN35" s="4" t="s">
        <v>84</v>
      </c>
      <c r="AO35" s="4" t="s">
        <v>15</v>
      </c>
      <c r="AQ35" s="1" t="s">
        <v>20</v>
      </c>
      <c r="AR35" s="3" t="s">
        <v>15</v>
      </c>
      <c r="AS35" s="3"/>
      <c r="AT35" s="1" t="s">
        <v>20</v>
      </c>
      <c r="AU35" s="3" t="s">
        <v>15</v>
      </c>
      <c r="AV35" s="3"/>
      <c r="AW35" s="1" t="s">
        <v>20</v>
      </c>
      <c r="AX35" s="3" t="s">
        <v>15</v>
      </c>
      <c r="AY35" s="3"/>
      <c r="AZ35" s="1" t="s">
        <v>20</v>
      </c>
      <c r="BA35" s="3" t="s">
        <v>15</v>
      </c>
      <c r="BC35" s="1" t="s">
        <v>20</v>
      </c>
      <c r="BD35" s="3" t="s">
        <v>15</v>
      </c>
      <c r="BE35" s="4" t="s">
        <v>131</v>
      </c>
      <c r="BF35" s="4" t="s">
        <v>132</v>
      </c>
      <c r="BG35" s="4" t="s">
        <v>130</v>
      </c>
      <c r="BH35" s="4" t="s">
        <v>1</v>
      </c>
      <c r="BJ35" s="1" t="s">
        <v>20</v>
      </c>
      <c r="BK35" s="3" t="s">
        <v>15</v>
      </c>
      <c r="BL35" s="4" t="s">
        <v>131</v>
      </c>
      <c r="BM35" s="4" t="s">
        <v>132</v>
      </c>
      <c r="BN35" s="4" t="s">
        <v>130</v>
      </c>
      <c r="BO35" s="4" t="s">
        <v>1</v>
      </c>
      <c r="BQ35" s="1" t="s">
        <v>20</v>
      </c>
      <c r="BR35" s="3" t="s">
        <v>15</v>
      </c>
      <c r="BS35" s="4" t="s">
        <v>131</v>
      </c>
      <c r="BT35" s="4" t="s">
        <v>132</v>
      </c>
      <c r="BU35" s="4" t="s">
        <v>130</v>
      </c>
      <c r="BV35" s="4" t="s">
        <v>1</v>
      </c>
      <c r="BX35" s="1" t="s">
        <v>20</v>
      </c>
      <c r="BY35" s="3" t="s">
        <v>15</v>
      </c>
      <c r="BZ35" s="4" t="s">
        <v>131</v>
      </c>
      <c r="CA35" s="4" t="s">
        <v>132</v>
      </c>
      <c r="CB35" s="4" t="s">
        <v>130</v>
      </c>
      <c r="CC35" s="4" t="s">
        <v>1</v>
      </c>
      <c r="CE35" s="1" t="s">
        <v>20</v>
      </c>
      <c r="CF35" s="3" t="s">
        <v>15</v>
      </c>
      <c r="CG35" s="4" t="s">
        <v>131</v>
      </c>
      <c r="CH35" s="4" t="s">
        <v>132</v>
      </c>
      <c r="CI35" s="4" t="s">
        <v>130</v>
      </c>
      <c r="CJ35" s="4" t="s">
        <v>1</v>
      </c>
      <c r="CL35" s="1" t="s">
        <v>20</v>
      </c>
      <c r="CM35" s="3" t="s">
        <v>15</v>
      </c>
      <c r="CN35" s="4" t="s">
        <v>131</v>
      </c>
      <c r="CO35" s="4" t="s">
        <v>132</v>
      </c>
      <c r="CP35" s="4" t="s">
        <v>130</v>
      </c>
      <c r="CQ35" s="4" t="s">
        <v>1</v>
      </c>
      <c r="CR35" s="4" t="s">
        <v>138</v>
      </c>
      <c r="CS35" s="4" t="s">
        <v>139</v>
      </c>
      <c r="CT35" s="4" t="s">
        <v>140</v>
      </c>
      <c r="CV35" s="1" t="s">
        <v>20</v>
      </c>
      <c r="CW35" s="1" t="s">
        <v>15</v>
      </c>
      <c r="CX35" s="4" t="s">
        <v>131</v>
      </c>
      <c r="CY35" s="4" t="s">
        <v>132</v>
      </c>
      <c r="CZ35" s="4" t="s">
        <v>130</v>
      </c>
      <c r="DA35" s="4" t="s">
        <v>1</v>
      </c>
      <c r="DB35" s="4" t="s">
        <v>138</v>
      </c>
      <c r="DC35" s="4" t="s">
        <v>139</v>
      </c>
      <c r="DD35" s="4" t="s">
        <v>140</v>
      </c>
      <c r="DF35" s="1" t="s">
        <v>20</v>
      </c>
      <c r="DG35" s="1" t="s">
        <v>15</v>
      </c>
      <c r="DH35" s="4" t="s">
        <v>131</v>
      </c>
      <c r="DI35" s="4" t="s">
        <v>132</v>
      </c>
      <c r="DJ35" s="4" t="s">
        <v>130</v>
      </c>
      <c r="DK35" s="4" t="s">
        <v>1</v>
      </c>
      <c r="DL35" s="4" t="s">
        <v>138</v>
      </c>
      <c r="DM35" s="4" t="s">
        <v>139</v>
      </c>
      <c r="DN35" s="4" t="s">
        <v>140</v>
      </c>
      <c r="DP35" s="1" t="s">
        <v>20</v>
      </c>
      <c r="DQ35" s="1" t="s">
        <v>15</v>
      </c>
      <c r="DR35" s="4" t="s">
        <v>131</v>
      </c>
      <c r="DS35" s="4" t="s">
        <v>132</v>
      </c>
      <c r="DT35" s="4" t="s">
        <v>130</v>
      </c>
      <c r="DU35" s="4" t="s">
        <v>1</v>
      </c>
      <c r="DV35" s="4" t="s">
        <v>138</v>
      </c>
      <c r="DW35" s="4" t="s">
        <v>139</v>
      </c>
      <c r="DX35" s="4" t="s">
        <v>140</v>
      </c>
      <c r="DZ35" s="1" t="s">
        <v>20</v>
      </c>
      <c r="EA35" s="1" t="s">
        <v>15</v>
      </c>
      <c r="EB35" s="4" t="s">
        <v>131</v>
      </c>
      <c r="EC35" s="4" t="s">
        <v>132</v>
      </c>
      <c r="ED35" s="4" t="s">
        <v>130</v>
      </c>
      <c r="EE35" s="4" t="s">
        <v>1</v>
      </c>
      <c r="EF35" s="4" t="s">
        <v>138</v>
      </c>
      <c r="EG35" s="4" t="s">
        <v>139</v>
      </c>
      <c r="EH35" s="4" t="s">
        <v>140</v>
      </c>
      <c r="EJ35" s="1" t="s">
        <v>20</v>
      </c>
      <c r="EK35" s="1" t="s">
        <v>15</v>
      </c>
      <c r="EL35" s="4" t="s">
        <v>131</v>
      </c>
      <c r="EM35" s="4" t="s">
        <v>132</v>
      </c>
      <c r="EN35" s="4" t="s">
        <v>130</v>
      </c>
      <c r="EO35" s="4" t="s">
        <v>1</v>
      </c>
      <c r="EP35" s="4" t="s">
        <v>138</v>
      </c>
      <c r="EQ35" s="4" t="s">
        <v>139</v>
      </c>
      <c r="ER35" s="4" t="s">
        <v>140</v>
      </c>
      <c r="ET35" s="1" t="s">
        <v>20</v>
      </c>
      <c r="EU35" s="4" t="s">
        <v>3</v>
      </c>
      <c r="EV35" s="4" t="s">
        <v>4</v>
      </c>
      <c r="EW35" s="4" t="s">
        <v>5</v>
      </c>
      <c r="EX35" s="4" t="s">
        <v>6</v>
      </c>
      <c r="EY35" s="4" t="s">
        <v>7</v>
      </c>
      <c r="EZ35" s="4" t="s">
        <v>14</v>
      </c>
      <c r="FA35" s="4" t="s">
        <v>84</v>
      </c>
      <c r="FB35" s="4" t="s">
        <v>15</v>
      </c>
      <c r="FE35" s="69">
        <f t="shared" si="14"/>
        <v>37918.25</v>
      </c>
      <c r="FF35" s="67"/>
      <c r="FG35" s="69">
        <f t="shared" si="19"/>
        <v>37918.833333333336</v>
      </c>
      <c r="FH35" s="69">
        <v>37918.833333333336</v>
      </c>
      <c r="FI35" s="69">
        <f t="shared" si="2"/>
        <v>37918.91666666667</v>
      </c>
      <c r="FJ35" s="69">
        <f t="shared" si="9"/>
        <v>37918.5</v>
      </c>
      <c r="FK35" s="69">
        <f t="shared" si="9"/>
        <v>37918.5</v>
      </c>
      <c r="FL35" s="69">
        <f t="shared" si="10"/>
        <v>37918.458333333336</v>
      </c>
      <c r="FM35" s="69">
        <f t="shared" si="11"/>
        <v>37918.25</v>
      </c>
      <c r="FN35" s="69">
        <f t="shared" si="12"/>
        <v>37918.125</v>
      </c>
      <c r="FO35" s="69">
        <f t="shared" si="13"/>
        <v>37918.208333333336</v>
      </c>
      <c r="FP35" s="67"/>
      <c r="FT35" t="str">
        <f>TEXT(RWC2003!D35,"")&amp;" vs "&amp;TEXT(RWC2003!K35,"")</f>
        <v>South Africa vs Georgia</v>
      </c>
      <c r="FU35">
        <v>25</v>
      </c>
      <c r="FV35"/>
      <c r="FW35" t="s">
        <v>99</v>
      </c>
      <c r="FX35">
        <v>31</v>
      </c>
    </row>
    <row r="36" spans="2:180" ht="13.5" customHeight="1" thickBot="1">
      <c r="B36" s="1">
        <v>26</v>
      </c>
      <c r="C36" s="88">
        <f t="shared" si="3"/>
        <v>37919.08333333333</v>
      </c>
      <c r="D36" s="46" t="s">
        <v>24</v>
      </c>
      <c r="E36" s="46"/>
      <c r="F36" s="66">
        <v>22</v>
      </c>
      <c r="G36" s="74">
        <v>142</v>
      </c>
      <c r="H36" s="74">
        <v>0</v>
      </c>
      <c r="I36" s="47">
        <v>0</v>
      </c>
      <c r="J36" s="48"/>
      <c r="K36" s="49" t="s">
        <v>77</v>
      </c>
      <c r="L36" s="50" t="s">
        <v>10</v>
      </c>
      <c r="M36" s="51" t="s">
        <v>51</v>
      </c>
      <c r="N36" s="1" t="s">
        <v>52</v>
      </c>
      <c r="P36" s="77" t="str">
        <f aca="true" t="shared" si="20" ref="P36:V40">ET36</f>
        <v>New Zealand</v>
      </c>
      <c r="Q36" s="78">
        <f t="shared" si="20"/>
        <v>4</v>
      </c>
      <c r="R36" s="78">
        <f t="shared" si="20"/>
        <v>4</v>
      </c>
      <c r="S36" s="78">
        <f t="shared" si="20"/>
        <v>0</v>
      </c>
      <c r="T36" s="78">
        <f t="shared" si="20"/>
        <v>0</v>
      </c>
      <c r="U36" s="78">
        <f t="shared" si="20"/>
        <v>282</v>
      </c>
      <c r="V36" s="78">
        <f t="shared" si="20"/>
        <v>57</v>
      </c>
      <c r="W36" s="78">
        <f aca="true" t="shared" si="21" ref="W36:X40">FA36</f>
        <v>4</v>
      </c>
      <c r="X36" s="79">
        <f t="shared" si="21"/>
        <v>20</v>
      </c>
      <c r="Y36" s="4"/>
      <c r="Z36" s="4"/>
      <c r="AA36" s="1" t="str">
        <f t="shared" si="4"/>
        <v>Australia</v>
      </c>
      <c r="AB36" s="1" t="str">
        <f t="shared" si="5"/>
        <v>Namibia</v>
      </c>
      <c r="AC36" s="1">
        <f t="shared" si="6"/>
      </c>
      <c r="AD36" s="1" t="str">
        <f t="shared" si="7"/>
        <v>Australia</v>
      </c>
      <c r="AE36" s="1">
        <f t="shared" si="8"/>
      </c>
      <c r="AG36" s="1" t="s">
        <v>74</v>
      </c>
      <c r="AH36" s="4">
        <f>COUNT(can)</f>
        <v>4</v>
      </c>
      <c r="AI36" s="4">
        <f>COUNTIF($AA$11:$AA$50,AG36)</f>
        <v>1</v>
      </c>
      <c r="AJ36" s="4">
        <f>AH36-AI36-AK36</f>
        <v>0</v>
      </c>
      <c r="AK36" s="4">
        <f>COUNTIF($AB$11:$AB$50,AG36)</f>
        <v>3</v>
      </c>
      <c r="AL36" s="4">
        <f>SUM(can)</f>
        <v>54</v>
      </c>
      <c r="AM36" s="4">
        <f>SUM(can_a)</f>
        <v>135</v>
      </c>
      <c r="AN36" s="4">
        <f>COUNTIF($AC$11:$AE$50,AG36)</f>
        <v>1</v>
      </c>
      <c r="AO36" s="4">
        <f>AI36*win_pts+AJ36*draw_pts+AK36*loss_pts+AN36</f>
        <v>5</v>
      </c>
      <c r="AQ36" s="1" t="str">
        <f>IF(AO36&gt;=AO37,AG36,AG37)</f>
        <v>Italy</v>
      </c>
      <c r="AR36" s="1">
        <f>VLOOKUP(AQ36,$AG$36:$AO$40,9,FALSE)</f>
        <v>8</v>
      </c>
      <c r="AS36"/>
      <c r="AT36" s="1" t="str">
        <f>AQ36</f>
        <v>Italy</v>
      </c>
      <c r="AU36" s="1">
        <f>VLOOKUP(AT36,$AG$36:$AO$40,9,FALSE)</f>
        <v>8</v>
      </c>
      <c r="AW36" s="1" t="str">
        <f>IF(AU36&gt;=AU37,AT36,AT37)</f>
        <v>New Zealand</v>
      </c>
      <c r="AX36" s="1">
        <f>VLOOKUP(AW36,$AG$36:$AO$40,9,FALSE)</f>
        <v>20</v>
      </c>
      <c r="AZ36" s="1" t="str">
        <f>AW36</f>
        <v>New Zealand</v>
      </c>
      <c r="BA36" s="1">
        <f>VLOOKUP(AZ36,$AG$36:$AO$40,9,FALSE)</f>
        <v>20</v>
      </c>
      <c r="BC36" s="1" t="str">
        <f>IF(BA36&gt;=BA37,AZ36,AZ37)</f>
        <v>New Zealand</v>
      </c>
      <c r="BD36" s="1">
        <f>VLOOKUP(BC36,$AG$36:$AO$40,9,FALSE)</f>
        <v>20</v>
      </c>
      <c r="BE36" s="1" t="str">
        <f>TEXT(BC36,"")&amp;" vs "&amp;TEXT(BC37,"")</f>
        <v>New Zealand vs Wales</v>
      </c>
      <c r="BF36" s="1" t="str">
        <f>TEXT(BC37,"")&amp;" vs "&amp;TEXT(BC36,"")</f>
        <v>Wales vs New Zealand</v>
      </c>
      <c r="BG36" s="4">
        <f>IF(ISERROR(VLOOKUP(BE36,RWC2003!$FW$11:$FX$50,2,FALSE)),VLOOKUP(BF36,RWC2003!$FW$11:$FX$50,2,FALSE),VLOOKUP(BE36,RWC2003!$FW$11:$FX$50,2,FALSE))</f>
        <v>40</v>
      </c>
      <c r="BH36" s="4" t="str">
        <f>VLOOKUP(BG36,$B$11:$AA$50,26)</f>
        <v>New Zealand</v>
      </c>
      <c r="BJ36" s="1" t="str">
        <f>IF(AND(BD36=BD37,BH36=BC37),BC37,BC36)</f>
        <v>New Zealand</v>
      </c>
      <c r="BK36" s="1">
        <f>VLOOKUP(BJ36,$AG$36:$AO$40,9,FALSE)</f>
        <v>20</v>
      </c>
      <c r="BN36" s="4"/>
      <c r="BO36" s="4"/>
      <c r="BQ36" s="1" t="str">
        <f>BJ36</f>
        <v>New Zealand</v>
      </c>
      <c r="BR36" s="1">
        <f>VLOOKUP(BQ36,$AG$36:$AO$40,9,FALSE)</f>
        <v>20</v>
      </c>
      <c r="BS36" s="1" t="str">
        <f>TEXT(BQ36,"")&amp;" vs "&amp;TEXT(BQ37,"")</f>
        <v>New Zealand vs Wales</v>
      </c>
      <c r="BT36" s="1" t="str">
        <f>TEXT(BQ37,"")&amp;" vs "&amp;TEXT(BQ36,"")</f>
        <v>Wales vs New Zealand</v>
      </c>
      <c r="BU36" s="4">
        <f>IF(ISERROR(VLOOKUP(BS36,RWC2003!$FW$11:$FX$50,2,FALSE)),VLOOKUP(BT36,RWC2003!$FW$11:$FX$50,2,FALSE),VLOOKUP(BS36,RWC2003!$FW$11:$FX$50,2,FALSE))</f>
        <v>40</v>
      </c>
      <c r="BV36" s="4" t="str">
        <f>VLOOKUP(BU36,$B$11:$AA$50,26)</f>
        <v>New Zealand</v>
      </c>
      <c r="BX36" s="1" t="str">
        <f>IF(AND(BR36=BR37,BV36=BQ37),BQ37,BQ36)</f>
        <v>New Zealand</v>
      </c>
      <c r="BY36" s="1">
        <f>VLOOKUP(BX36,$AG$36:$AO$40,9,FALSE)</f>
        <v>20</v>
      </c>
      <c r="CB36" s="4"/>
      <c r="CC36" s="4"/>
      <c r="CE36" s="1" t="str">
        <f>BX36</f>
        <v>New Zealand</v>
      </c>
      <c r="CF36" s="1">
        <f>VLOOKUP(CE36,$AG$36:$AO$40,9,FALSE)</f>
        <v>20</v>
      </c>
      <c r="CG36" s="1" t="str">
        <f>TEXT(CE36,"")&amp;" vs "&amp;TEXT(CE37,"")</f>
        <v>New Zealand vs Wales</v>
      </c>
      <c r="CH36" s="1" t="str">
        <f>TEXT(CE37,"")&amp;" vs "&amp;TEXT(CE36,"")</f>
        <v>Wales vs New Zealand</v>
      </c>
      <c r="CI36" s="4">
        <f>IF(ISERROR(VLOOKUP(CG36,RWC2003!$FW$11:$FX$50,2,FALSE)),VLOOKUP(CH36,RWC2003!$FW$11:$FX$50,2,FALSE),VLOOKUP(CG36,RWC2003!$FW$11:$FX$50,2,FALSE))</f>
        <v>40</v>
      </c>
      <c r="CJ36" s="4" t="str">
        <f>VLOOKUP(CI36,$B$11:$AA$50,26)</f>
        <v>New Zealand</v>
      </c>
      <c r="CL36" s="1" t="str">
        <f>IF(AND(CF36=CF37,CJ36=CE37),CE37,CE36)</f>
        <v>New Zealand</v>
      </c>
      <c r="CM36" s="1">
        <f>VLOOKUP(CL36,$AG$36:$AO$40,9,FALSE)</f>
        <v>20</v>
      </c>
      <c r="CN36" s="1" t="str">
        <f>TEXT(CL36,"")&amp;" vs "&amp;TEXT(CL37,"")</f>
        <v>New Zealand vs Wales</v>
      </c>
      <c r="CO36" s="1" t="str">
        <f>TEXT(CL37,"")&amp;" vs "&amp;TEXT(CL36,"")</f>
        <v>Wales vs New Zealand</v>
      </c>
      <c r="CP36" s="4">
        <f>IF(ISERROR(VLOOKUP(CN36,RWC2003!$FW$11:$FX$50,2,FALSE)),VLOOKUP(CO36,RWC2003!$FW$11:$FX$50,2,FALSE),VLOOKUP(CN36,RWC2003!$FW$11:$FX$50,2,FALSE))</f>
        <v>40</v>
      </c>
      <c r="CQ36" s="4" t="str">
        <f>VLOOKUP(CP36,$B$11:$AA$50,26)</f>
        <v>New Zealand</v>
      </c>
      <c r="CR36" s="4">
        <f>VLOOKUP(CL36,$AG$36:$AO$40,6,FALSE)</f>
        <v>282</v>
      </c>
      <c r="CS36" s="4">
        <f>VLOOKUP(CL36,$AG$36:$AO$40,7,FALSE)</f>
        <v>57</v>
      </c>
      <c r="CT36" s="4">
        <f>CR36-CS36</f>
        <v>225</v>
      </c>
      <c r="CV36" s="1" t="str">
        <f>IF(AND(CM36=CM37,OR(CQ36="draw",CQ36="")),IF(CT36&gt;=CT37,CL36,CL37),CL36)</f>
        <v>New Zealand</v>
      </c>
      <c r="CW36" s="1">
        <f>VLOOKUP(CV36,$AG$36:$AO$40,9,FALSE)</f>
        <v>20</v>
      </c>
      <c r="CX36" s="1" t="str">
        <f>TEXT(CV36,"")&amp;" vs "&amp;TEXT(CV37,"")</f>
        <v>New Zealand vs Wales</v>
      </c>
      <c r="CY36" s="1" t="str">
        <f>TEXT(CV37,"")&amp;" vs "&amp;TEXT(CV36,"")</f>
        <v>Wales vs New Zealand</v>
      </c>
      <c r="CZ36" s="4">
        <f>IF(ISERROR(VLOOKUP(CX36,RWC2003!$FW$11:$FX$50,2,FALSE)),VLOOKUP(CY36,RWC2003!$FW$11:$FX$50,2,FALSE),VLOOKUP(CX36,RWC2003!$FW$11:$FX$50,2,FALSE))</f>
        <v>40</v>
      </c>
      <c r="DA36" s="4" t="str">
        <f>VLOOKUP(CZ36,$B$11:$AA$50,26)</f>
        <v>New Zealand</v>
      </c>
      <c r="DB36" s="4">
        <f>VLOOKUP(CV36,$AG$36:$AO$40,6,FALSE)</f>
        <v>282</v>
      </c>
      <c r="DC36" s="4">
        <f>VLOOKUP(CV36,$AG$36:$AO$40,7,FALSE)</f>
        <v>57</v>
      </c>
      <c r="DD36" s="4">
        <f>DB36-DC36</f>
        <v>225</v>
      </c>
      <c r="DF36" s="1" t="str">
        <f>CV36</f>
        <v>New Zealand</v>
      </c>
      <c r="DG36" s="1">
        <f>VLOOKUP(DF36,$AG$36:$AO$40,9,FALSE)</f>
        <v>20</v>
      </c>
      <c r="DH36" s="1" t="str">
        <f>TEXT(DF36,"")&amp;" vs "&amp;TEXT(DF37,"")</f>
        <v>New Zealand vs Wales</v>
      </c>
      <c r="DI36" s="1" t="str">
        <f>TEXT(DF37,"")&amp;" vs "&amp;TEXT(DF36,"")</f>
        <v>Wales vs New Zealand</v>
      </c>
      <c r="DJ36" s="4">
        <f>IF(ISERROR(VLOOKUP(DH36,RWC2003!$FW$11:$FX$50,2,FALSE)),VLOOKUP(DI36,RWC2003!$FW$11:$FX$50,2,FALSE),VLOOKUP(DH36,RWC2003!$FW$11:$FX$50,2,FALSE))</f>
        <v>40</v>
      </c>
      <c r="DK36" s="4" t="str">
        <f>VLOOKUP(DJ36,$B$11:$AA$50,26)</f>
        <v>New Zealand</v>
      </c>
      <c r="DL36" s="4">
        <f>VLOOKUP(DF36,$AG$36:$AO$40,6,FALSE)</f>
        <v>282</v>
      </c>
      <c r="DM36" s="4">
        <f>VLOOKUP(DF36,$AG$36:$AO$40,7,FALSE)</f>
        <v>57</v>
      </c>
      <c r="DN36" s="4">
        <f>DL36-DM36</f>
        <v>225</v>
      </c>
      <c r="DP36" s="1" t="str">
        <f>IF(AND(DG36=DG37,OR(DK36="draw",DK36="")),IF(DN36&gt;=DN37,DF36,DF37),DF36)</f>
        <v>New Zealand</v>
      </c>
      <c r="DQ36" s="1">
        <f>VLOOKUP(DP36,$AG$36:$AO$40,9,FALSE)</f>
        <v>20</v>
      </c>
      <c r="DR36" s="1" t="str">
        <f>TEXT(DP36,"")&amp;" vs "&amp;TEXT(DP37,"")</f>
        <v>New Zealand vs Wales</v>
      </c>
      <c r="DS36" s="1" t="str">
        <f>TEXT(DP37,"")&amp;" vs "&amp;TEXT(DP36,"")</f>
        <v>Wales vs New Zealand</v>
      </c>
      <c r="DT36" s="4">
        <f>IF(ISERROR(VLOOKUP(DR36,RWC2003!$FW$11:$FX$50,2,FALSE)),VLOOKUP(DS36,RWC2003!$FW$11:$FX$50,2,FALSE),VLOOKUP(DR36,RWC2003!$FW$11:$FX$50,2,FALSE))</f>
        <v>40</v>
      </c>
      <c r="DU36" s="4" t="str">
        <f>VLOOKUP(DT36,$B$11:$AA$50,26)</f>
        <v>New Zealand</v>
      </c>
      <c r="DV36" s="4">
        <f>VLOOKUP(DP36,$AG$36:$AO$40,6,FALSE)</f>
        <v>282</v>
      </c>
      <c r="DW36" s="4">
        <f>VLOOKUP(DP36,$AG$36:$AO$40,7,FALSE)</f>
        <v>57</v>
      </c>
      <c r="DX36" s="4">
        <f>DV36-DW36</f>
        <v>225</v>
      </c>
      <c r="DZ36" s="1" t="str">
        <f>DP36</f>
        <v>New Zealand</v>
      </c>
      <c r="EA36" s="1">
        <f>VLOOKUP(DZ36,$AG$36:$AO$40,9,FALSE)</f>
        <v>20</v>
      </c>
      <c r="EB36" s="1" t="str">
        <f>TEXT(DZ36,"")&amp;" vs "&amp;TEXT(DZ37,"")</f>
        <v>New Zealand vs Wales</v>
      </c>
      <c r="EC36" s="1" t="str">
        <f>TEXT(DZ37,"")&amp;" vs "&amp;TEXT(DZ36,"")</f>
        <v>Wales vs New Zealand</v>
      </c>
      <c r="ED36" s="4">
        <f>IF(ISERROR(VLOOKUP(EB36,RWC2003!$FW$11:$FX$50,2,FALSE)),VLOOKUP(EC36,RWC2003!$FW$11:$FX$50,2,FALSE),VLOOKUP(EB36,RWC2003!$FW$11:$FX$50,2,FALSE))</f>
        <v>40</v>
      </c>
      <c r="EE36" s="4" t="str">
        <f>VLOOKUP(ED36,$B$11:$AA$50,26)</f>
        <v>New Zealand</v>
      </c>
      <c r="EF36" s="4">
        <f>VLOOKUP(DZ36,$AG$36:$AO$40,6,FALSE)</f>
        <v>282</v>
      </c>
      <c r="EG36" s="4">
        <f>VLOOKUP(DZ36,$AG$36:$AO$40,7,FALSE)</f>
        <v>57</v>
      </c>
      <c r="EH36" s="4">
        <f>EF36-EG36</f>
        <v>225</v>
      </c>
      <c r="EJ36" s="1" t="str">
        <f>IF(AND(EA36=EA37,OR(EE36="draw",EE36="")),IF(EH36&gt;=EH37,DZ36,DZ37),DZ36)</f>
        <v>New Zealand</v>
      </c>
      <c r="EK36" s="1">
        <f>VLOOKUP(EJ36,$AG$36:$AO$40,9,FALSE)</f>
        <v>20</v>
      </c>
      <c r="EL36" s="1" t="str">
        <f>TEXT(EJ36,"")&amp;" vs "&amp;TEXT(EJ37,"")</f>
        <v>New Zealand vs Wales</v>
      </c>
      <c r="EM36" s="1" t="str">
        <f>TEXT(EJ37,"")&amp;" vs "&amp;TEXT(EJ36,"")</f>
        <v>Wales vs New Zealand</v>
      </c>
      <c r="EN36" s="4">
        <f>IF(ISERROR(VLOOKUP(EL36,RWC2003!$FW$11:$FX$50,2,FALSE)),VLOOKUP(EM36,RWC2003!$FW$11:$FX$50,2,FALSE),VLOOKUP(EL36,RWC2003!$FW$11:$FX$50,2,FALSE))</f>
        <v>40</v>
      </c>
      <c r="EO36" s="4" t="str">
        <f>VLOOKUP(EN36,$B$11:$AA$50,26)</f>
        <v>New Zealand</v>
      </c>
      <c r="EP36" s="4">
        <f>VLOOKUP(EJ36,$AG$36:$AO$40,6,FALSE)</f>
        <v>282</v>
      </c>
      <c r="EQ36" s="4">
        <f>VLOOKUP(EJ36,$AG$36:$AO$40,7,FALSE)</f>
        <v>57</v>
      </c>
      <c r="ER36" s="4">
        <f>EP36-EQ36</f>
        <v>225</v>
      </c>
      <c r="ET36" s="1" t="str">
        <f>EJ36</f>
        <v>New Zealand</v>
      </c>
      <c r="EU36" s="4">
        <f>VLOOKUP($ET36,$AG$36:$AP$40,2,FALSE)</f>
        <v>4</v>
      </c>
      <c r="EV36" s="4">
        <f>VLOOKUP($ET36,$AG$36:$AP$40,3,FALSE)</f>
        <v>4</v>
      </c>
      <c r="EW36" s="4">
        <f>VLOOKUP($ET36,$AG$36:$AP$40,4,FALSE)</f>
        <v>0</v>
      </c>
      <c r="EX36" s="4">
        <f>VLOOKUP($ET36,$AG$36:$AP$40,5,FALSE)</f>
        <v>0</v>
      </c>
      <c r="EY36" s="4">
        <f>VLOOKUP($ET36,$AG$36:$AP$40,6,FALSE)</f>
        <v>282</v>
      </c>
      <c r="EZ36" s="4">
        <f>VLOOKUP($ET36,$AG$36:$AP$40,7,FALSE)</f>
        <v>57</v>
      </c>
      <c r="FA36" s="4">
        <f>VLOOKUP($ET36,$AG$36:$AP$40,8,FALSE)</f>
        <v>4</v>
      </c>
      <c r="FB36" s="4">
        <f>VLOOKUP($ET36,$AG$36:$AP$40,9,FALSE)</f>
        <v>20</v>
      </c>
      <c r="FE36" s="69">
        <f t="shared" si="14"/>
        <v>37919.08333333333</v>
      </c>
      <c r="FF36" s="67"/>
      <c r="FG36" s="69">
        <f>FH36-(0.5/24)</f>
        <v>37919.64583333333</v>
      </c>
      <c r="FH36" s="69">
        <v>37919.666666666664</v>
      </c>
      <c r="FI36" s="69">
        <f t="shared" si="2"/>
        <v>37919.75</v>
      </c>
      <c r="FJ36" s="69">
        <f t="shared" si="9"/>
        <v>37919.33333333333</v>
      </c>
      <c r="FK36" s="69">
        <f t="shared" si="9"/>
        <v>37919.33333333333</v>
      </c>
      <c r="FL36" s="69">
        <f t="shared" si="10"/>
        <v>37919.291666666664</v>
      </c>
      <c r="FM36" s="69">
        <f t="shared" si="11"/>
        <v>37919.08333333333</v>
      </c>
      <c r="FN36" s="69">
        <f t="shared" si="12"/>
        <v>37918.95833333333</v>
      </c>
      <c r="FO36" s="69">
        <f t="shared" si="13"/>
        <v>37919.041666666664</v>
      </c>
      <c r="FP36" s="67"/>
      <c r="FT36" t="str">
        <f>TEXT(RWC2003!D36,"")&amp;" vs "&amp;TEXT(RWC2003!K36,"")</f>
        <v>Australia vs Namibia</v>
      </c>
      <c r="FU36">
        <v>26</v>
      </c>
      <c r="FV36"/>
      <c r="FW36" t="s">
        <v>96</v>
      </c>
      <c r="FX36">
        <v>34</v>
      </c>
    </row>
    <row r="37" spans="2:180" ht="13.5" customHeight="1" thickBot="1">
      <c r="B37" s="1">
        <v>27</v>
      </c>
      <c r="C37" s="88">
        <f t="shared" si="3"/>
        <v>37919.1875</v>
      </c>
      <c r="D37" s="46" t="s">
        <v>76</v>
      </c>
      <c r="E37" s="46"/>
      <c r="F37" s="66">
        <v>0</v>
      </c>
      <c r="G37" s="74">
        <v>15</v>
      </c>
      <c r="H37" s="74">
        <v>27</v>
      </c>
      <c r="I37" s="47">
        <v>3</v>
      </c>
      <c r="J37" s="48"/>
      <c r="K37" s="49" t="s">
        <v>37</v>
      </c>
      <c r="L37" s="50" t="s">
        <v>5</v>
      </c>
      <c r="M37" s="51" t="s">
        <v>47</v>
      </c>
      <c r="N37" s="1" t="s">
        <v>48</v>
      </c>
      <c r="P37" s="77" t="str">
        <f t="shared" si="20"/>
        <v>Wales</v>
      </c>
      <c r="Q37" s="78">
        <f t="shared" si="20"/>
        <v>4</v>
      </c>
      <c r="R37" s="78">
        <f t="shared" si="20"/>
        <v>3</v>
      </c>
      <c r="S37" s="78">
        <f t="shared" si="20"/>
        <v>0</v>
      </c>
      <c r="T37" s="78">
        <f t="shared" si="20"/>
        <v>1</v>
      </c>
      <c r="U37" s="78">
        <f t="shared" si="20"/>
        <v>132</v>
      </c>
      <c r="V37" s="78">
        <f t="shared" si="20"/>
        <v>98</v>
      </c>
      <c r="W37" s="78">
        <f t="shared" si="21"/>
        <v>2</v>
      </c>
      <c r="X37" s="79">
        <f t="shared" si="21"/>
        <v>14</v>
      </c>
      <c r="Y37" s="4"/>
      <c r="Z37" s="4"/>
      <c r="AA37" s="1" t="str">
        <f t="shared" si="4"/>
        <v>Wales</v>
      </c>
      <c r="AB37" s="1" t="str">
        <f t="shared" si="5"/>
        <v>Italy</v>
      </c>
      <c r="AC37" s="1">
        <f t="shared" si="6"/>
      </c>
      <c r="AD37" s="1">
        <f t="shared" si="7"/>
      </c>
      <c r="AE37" s="1">
        <f t="shared" si="8"/>
      </c>
      <c r="AG37" s="1" t="s">
        <v>76</v>
      </c>
      <c r="AH37" s="4">
        <f>COUNT(ita)</f>
        <v>4</v>
      </c>
      <c r="AI37" s="4">
        <f>COUNTIF($AA$11:$AA$50,AG37)</f>
        <v>2</v>
      </c>
      <c r="AJ37" s="4">
        <f>AH37-AI37-AK37</f>
        <v>0</v>
      </c>
      <c r="AK37" s="4">
        <f>COUNTIF($AB$11:$AB$50,AG37)</f>
        <v>2</v>
      </c>
      <c r="AL37" s="4">
        <f>SUM(ita)</f>
        <v>77</v>
      </c>
      <c r="AM37" s="4">
        <f>SUM(ita_a)</f>
        <v>123</v>
      </c>
      <c r="AN37" s="4">
        <f>COUNTIF($AC$11:$AE$50,AG37)</f>
        <v>0</v>
      </c>
      <c r="AO37" s="4">
        <f>AI37*win_pts+AJ37*draw_pts+AK37*loss_pts+AN37</f>
        <v>8</v>
      </c>
      <c r="AQ37" s="1" t="str">
        <f>IF(AO37&lt;=AO36,AG37,AG36)</f>
        <v>Canada</v>
      </c>
      <c r="AR37" s="1">
        <f>VLOOKUP(AQ37,$AG$36:$AO$40,9,FALSE)</f>
        <v>5</v>
      </c>
      <c r="AS37"/>
      <c r="AT37" s="1" t="str">
        <f>IF(AR37&gt;=AR38,AQ37,AQ38)</f>
        <v>New Zealand</v>
      </c>
      <c r="AU37" s="1">
        <f>VLOOKUP(AT37,$AG$36:$AO$40,9,FALSE)</f>
        <v>20</v>
      </c>
      <c r="AW37" s="1" t="str">
        <f>IF(AU37&lt;=AU36,AT37,AT36)</f>
        <v>Italy</v>
      </c>
      <c r="AX37" s="1">
        <f>VLOOKUP(AW37,$AG$36:$AO$40,9,FALSE)</f>
        <v>8</v>
      </c>
      <c r="AZ37" s="1" t="str">
        <f>IF(AX37&gt;=AX38,AW37,AW38)</f>
        <v>Wales</v>
      </c>
      <c r="BA37" s="1">
        <f>VLOOKUP(AZ37,$AG$36:$AO$40,9,FALSE)</f>
        <v>14</v>
      </c>
      <c r="BC37" s="1" t="str">
        <f>IF(BA37&lt;=BA36,AZ37,AZ36)</f>
        <v>Wales</v>
      </c>
      <c r="BD37" s="1">
        <f>VLOOKUP(BC37,$AG$36:$AO$40,9,FALSE)</f>
        <v>14</v>
      </c>
      <c r="BG37" s="4"/>
      <c r="BH37" s="4"/>
      <c r="BJ37" s="1" t="str">
        <f>IF(AND(BD36=BD37,BH36=BC37),BC36,BC37)</f>
        <v>Wales</v>
      </c>
      <c r="BK37" s="1">
        <f>VLOOKUP(BJ37,$AG$36:$AO$40,9,FALSE)</f>
        <v>14</v>
      </c>
      <c r="BL37" s="1" t="str">
        <f>TEXT(BJ37,"")&amp;" vs "&amp;TEXT(BJ38,"")</f>
        <v>Wales vs Italy</v>
      </c>
      <c r="BM37" s="1" t="str">
        <f>TEXT(BJ38,"")&amp;" vs "&amp;TEXT(BJ37,"")</f>
        <v>Italy vs Wales</v>
      </c>
      <c r="BN37" s="4">
        <f>IF(ISERROR(VLOOKUP(BL37,RWC2003!$FW$11:$FX$50,2,FALSE)),VLOOKUP(BM37,RWC2003!$FW$11:$FX$50,2,FALSE),VLOOKUP(BL37,RWC2003!$FW$11:$FX$50,2,FALSE))</f>
        <v>27</v>
      </c>
      <c r="BO37" s="4" t="str">
        <f>VLOOKUP(BN37,$B$11:$AA$50,26)</f>
        <v>Wales</v>
      </c>
      <c r="BQ37" s="1" t="str">
        <f>IF(AND(BK37=BK38,BO37=BJ38),BJ38,BJ37)</f>
        <v>Wales</v>
      </c>
      <c r="BR37" s="1">
        <f>VLOOKUP(BQ37,$AG$36:$AO$40,9,FALSE)</f>
        <v>14</v>
      </c>
      <c r="BU37" s="4"/>
      <c r="BV37" s="4"/>
      <c r="BX37" s="1" t="str">
        <f>IF(AND(BR36=BR37,BV36=BQ37),BQ36,BQ37)</f>
        <v>Wales</v>
      </c>
      <c r="BY37" s="1">
        <f>VLOOKUP(BX37,$AG$36:$AO$40,9,FALSE)</f>
        <v>14</v>
      </c>
      <c r="BZ37" s="1" t="str">
        <f>TEXT(BX37,"")&amp;" vs "&amp;TEXT(BX38,"")</f>
        <v>Wales vs Italy</v>
      </c>
      <c r="CA37" s="1" t="str">
        <f>TEXT(BX38,"")&amp;" vs "&amp;TEXT(BX37,"")</f>
        <v>Italy vs Wales</v>
      </c>
      <c r="CB37" s="4">
        <f>IF(ISERROR(VLOOKUP(BZ37,RWC2003!$FW$11:$FX$50,2,FALSE)),VLOOKUP(CA37,RWC2003!$FW$11:$FX$50,2,FALSE),VLOOKUP(BZ37,RWC2003!$FW$11:$FX$50,2,FALSE))</f>
        <v>27</v>
      </c>
      <c r="CC37" s="4" t="str">
        <f>VLOOKUP(CB37,$B$11:$AA$50,26)</f>
        <v>Wales</v>
      </c>
      <c r="CE37" s="1" t="str">
        <f>IF(AND(BY37=BY38,CC37=BX38),BX38,BX37)</f>
        <v>Wales</v>
      </c>
      <c r="CF37" s="1">
        <f>VLOOKUP(CE37,$AG$36:$AO$40,9,FALSE)</f>
        <v>14</v>
      </c>
      <c r="CI37" s="4"/>
      <c r="CJ37" s="4"/>
      <c r="CL37" s="1" t="str">
        <f>IF(AND(CF36=CF37,CJ36=CE37),CE36,CE37)</f>
        <v>Wales</v>
      </c>
      <c r="CM37" s="1">
        <f>VLOOKUP(CL37,$AG$36:$AO$40,9,FALSE)</f>
        <v>14</v>
      </c>
      <c r="CN37" s="1" t="str">
        <f>TEXT(CL37,"")&amp;" vs "&amp;TEXT(CL38,"")</f>
        <v>Wales vs Italy</v>
      </c>
      <c r="CO37" s="1" t="str">
        <f>TEXT(CL38,"")&amp;" vs "&amp;TEXT(CL37,"")</f>
        <v>Italy vs Wales</v>
      </c>
      <c r="CP37" s="4">
        <f>IF(ISERROR(VLOOKUP(CN37,RWC2003!$FW$11:$FX$50,2,FALSE)),VLOOKUP(CO37,RWC2003!$FW$11:$FX$50,2,FALSE),VLOOKUP(CN37,RWC2003!$FW$11:$FX$50,2,FALSE))</f>
        <v>27</v>
      </c>
      <c r="CQ37" s="4" t="str">
        <f>VLOOKUP(CP37,$B$11:$AA$50,26)</f>
        <v>Wales</v>
      </c>
      <c r="CR37" s="4">
        <f>VLOOKUP(CL37,$AG$36:$AO$40,6,FALSE)</f>
        <v>132</v>
      </c>
      <c r="CS37" s="4">
        <f>VLOOKUP(CL37,$AG$36:$AO$40,7,FALSE)</f>
        <v>98</v>
      </c>
      <c r="CT37" s="4">
        <f>CR37-CS37</f>
        <v>34</v>
      </c>
      <c r="CV37" s="1" t="str">
        <f>IF(AND(CM36=CM37,OR(CQ36="draw",CQ36="")),IF(CT36&gt;=CT37,CL37,CL36),CL37)</f>
        <v>Wales</v>
      </c>
      <c r="CW37" s="1">
        <f>VLOOKUP(CV37,$AG$36:$AO$40,9,FALSE)</f>
        <v>14</v>
      </c>
      <c r="CX37" s="1" t="str">
        <f>TEXT(CV37,"")&amp;" vs "&amp;TEXT(CV38,"")</f>
        <v>Wales vs Italy</v>
      </c>
      <c r="CY37" s="1" t="str">
        <f>TEXT(CV38,"")&amp;" vs "&amp;TEXT(CV37,"")</f>
        <v>Italy vs Wales</v>
      </c>
      <c r="CZ37" s="4">
        <f>IF(ISERROR(VLOOKUP(CX37,RWC2003!$FW$11:$FX$50,2,FALSE)),VLOOKUP(CY37,RWC2003!$FW$11:$FX$50,2,FALSE),VLOOKUP(CX37,RWC2003!$FW$11:$FX$50,2,FALSE))</f>
        <v>27</v>
      </c>
      <c r="DA37" s="4" t="str">
        <f>VLOOKUP(CZ37,$B$11:$AA$50,26)</f>
        <v>Wales</v>
      </c>
      <c r="DB37" s="4">
        <f>VLOOKUP(CV37,$AG$36:$AO$40,6,FALSE)</f>
        <v>132</v>
      </c>
      <c r="DC37" s="4">
        <f>VLOOKUP(CV37,$AG$36:$AO$40,7,FALSE)</f>
        <v>98</v>
      </c>
      <c r="DD37" s="4">
        <f>DB37-DC37</f>
        <v>34</v>
      </c>
      <c r="DF37" s="1" t="str">
        <f>IF(AND(CW37=CW38,OR(DA37="draw",DA37="")),IF(DD37&gt;=DD38,CV37,CV38),CV37)</f>
        <v>Wales</v>
      </c>
      <c r="DG37" s="1">
        <f>VLOOKUP(DF37,$AG$36:$AO$40,9,FALSE)</f>
        <v>14</v>
      </c>
      <c r="DH37" s="1" t="str">
        <f>TEXT(DF37,"")&amp;" vs "&amp;TEXT(DF38,"")</f>
        <v>Wales vs Italy</v>
      </c>
      <c r="DI37" s="1" t="str">
        <f>TEXT(DF38,"")&amp;" vs "&amp;TEXT(DF37,"")</f>
        <v>Italy vs Wales</v>
      </c>
      <c r="DJ37" s="4">
        <f>IF(ISERROR(VLOOKUP(DH37,RWC2003!$FW$11:$FX$50,2,FALSE)),VLOOKUP(DI37,RWC2003!$FW$11:$FX$50,2,FALSE),VLOOKUP(DH37,RWC2003!$FW$11:$FX$50,2,FALSE))</f>
        <v>27</v>
      </c>
      <c r="DK37" s="4" t="str">
        <f>VLOOKUP(DJ37,$B$11:$AA$50,26)</f>
        <v>Wales</v>
      </c>
      <c r="DL37" s="4">
        <f>VLOOKUP(DF37,$AG$36:$AO$40,6,FALSE)</f>
        <v>132</v>
      </c>
      <c r="DM37" s="4">
        <f>VLOOKUP(DF37,$AG$36:$AO$40,7,FALSE)</f>
        <v>98</v>
      </c>
      <c r="DN37" s="4">
        <f>DL37-DM37</f>
        <v>34</v>
      </c>
      <c r="DP37" s="1" t="str">
        <f>IF(AND(DG36=DG37,OR(DK36="draw",DK36="")),IF(DN36&gt;=DN37,DF37,DF36),DF37)</f>
        <v>Wales</v>
      </c>
      <c r="DQ37" s="1">
        <f>VLOOKUP(DP37,$AG$36:$AO$40,9,FALSE)</f>
        <v>14</v>
      </c>
      <c r="DR37" s="1" t="str">
        <f>TEXT(DP37,"")&amp;" vs "&amp;TEXT(DP38,"")</f>
        <v>Wales vs Italy</v>
      </c>
      <c r="DS37" s="1" t="str">
        <f>TEXT(DP38,"")&amp;" vs "&amp;TEXT(DP37,"")</f>
        <v>Italy vs Wales</v>
      </c>
      <c r="DT37" s="4">
        <f>IF(ISERROR(VLOOKUP(DR37,RWC2003!$FW$11:$FX$50,2,FALSE)),VLOOKUP(DS37,RWC2003!$FW$11:$FX$50,2,FALSE),VLOOKUP(DR37,RWC2003!$FW$11:$FX$50,2,FALSE))</f>
        <v>27</v>
      </c>
      <c r="DU37" s="4" t="str">
        <f>VLOOKUP(DT37,$B$11:$AA$50,26)</f>
        <v>Wales</v>
      </c>
      <c r="DV37" s="4">
        <f>VLOOKUP(DP37,$AG$36:$AO$40,6,FALSE)</f>
        <v>132</v>
      </c>
      <c r="DW37" s="4">
        <f>VLOOKUP(DP37,$AG$36:$AO$40,7,FALSE)</f>
        <v>98</v>
      </c>
      <c r="DX37" s="4">
        <f>DV37-DW37</f>
        <v>34</v>
      </c>
      <c r="DZ37" s="1" t="str">
        <f>IF(AND(DQ37=DQ38,OR(DU37="draw",DU37="")),IF(DX37&gt;=DX38,DP37,DP38),DP37)</f>
        <v>Wales</v>
      </c>
      <c r="EA37" s="1">
        <f>VLOOKUP(DZ37,$AG$36:$AO$40,9,FALSE)</f>
        <v>14</v>
      </c>
      <c r="EB37" s="1" t="str">
        <f>TEXT(DZ37,"")&amp;" vs "&amp;TEXT(DZ38,"")</f>
        <v>Wales vs Italy</v>
      </c>
      <c r="EC37" s="1" t="str">
        <f>TEXT(DZ38,"")&amp;" vs "&amp;TEXT(DZ37,"")</f>
        <v>Italy vs Wales</v>
      </c>
      <c r="ED37" s="4">
        <f>IF(ISERROR(VLOOKUP(EB37,RWC2003!$FW$11:$FX$50,2,FALSE)),VLOOKUP(EC37,RWC2003!$FW$11:$FX$50,2,FALSE),VLOOKUP(EB37,RWC2003!$FW$11:$FX$50,2,FALSE))</f>
        <v>27</v>
      </c>
      <c r="EE37" s="4" t="str">
        <f>VLOOKUP(ED37,$B$11:$AA$50,26)</f>
        <v>Wales</v>
      </c>
      <c r="EF37" s="4">
        <f>VLOOKUP(DZ37,$AG$36:$AO$40,6,FALSE)</f>
        <v>132</v>
      </c>
      <c r="EG37" s="4">
        <f>VLOOKUP(DZ37,$AG$36:$AO$40,7,FALSE)</f>
        <v>98</v>
      </c>
      <c r="EH37" s="4">
        <f>EF37-EG37</f>
        <v>34</v>
      </c>
      <c r="EJ37" s="1" t="str">
        <f>IF(AND(EA36=EA37,OR(EE36="draw",EE36="")),IF(EH36&gt;=EH37,DZ37,DZ36),DZ37)</f>
        <v>Wales</v>
      </c>
      <c r="EK37" s="1">
        <f>VLOOKUP(EJ37,$AG$36:$AO$40,9,FALSE)</f>
        <v>14</v>
      </c>
      <c r="EL37" s="1" t="str">
        <f>TEXT(EJ37,"")&amp;" vs "&amp;TEXT(EJ38,"")</f>
        <v>Wales vs Italy</v>
      </c>
      <c r="EM37" s="1" t="str">
        <f>TEXT(EJ38,"")&amp;" vs "&amp;TEXT(EJ37,"")</f>
        <v>Italy vs Wales</v>
      </c>
      <c r="EN37" s="4">
        <f>IF(ISERROR(VLOOKUP(EL37,RWC2003!$FW$11:$FX$50,2,FALSE)),VLOOKUP(EM37,RWC2003!$FW$11:$FX$50,2,FALSE),VLOOKUP(EL37,RWC2003!$FW$11:$FX$50,2,FALSE))</f>
        <v>27</v>
      </c>
      <c r="EO37" s="4" t="str">
        <f>VLOOKUP(EN37,$B$11:$AA$50,26)</f>
        <v>Wales</v>
      </c>
      <c r="EP37" s="4">
        <f>VLOOKUP(EJ37,$AG$36:$AO$40,6,FALSE)</f>
        <v>132</v>
      </c>
      <c r="EQ37" s="4">
        <f>VLOOKUP(EJ37,$AG$36:$AO$40,7,FALSE)</f>
        <v>98</v>
      </c>
      <c r="ER37" s="4">
        <f>EP37-EQ37</f>
        <v>34</v>
      </c>
      <c r="ET37" s="1" t="str">
        <f>EJ37</f>
        <v>Wales</v>
      </c>
      <c r="EU37" s="4">
        <f>VLOOKUP($ET37,$AG$36:$AP$40,2,FALSE)</f>
        <v>4</v>
      </c>
      <c r="EV37" s="4">
        <f>VLOOKUP($ET37,$AG$36:$AP$40,3,FALSE)</f>
        <v>3</v>
      </c>
      <c r="EW37" s="4">
        <f>VLOOKUP($ET37,$AG$36:$AP$40,4,FALSE)</f>
        <v>0</v>
      </c>
      <c r="EX37" s="4">
        <f>VLOOKUP($ET37,$AG$36:$AP$40,5,FALSE)</f>
        <v>1</v>
      </c>
      <c r="EY37" s="4">
        <f>VLOOKUP($ET37,$AG$36:$AP$40,6,FALSE)</f>
        <v>132</v>
      </c>
      <c r="EZ37" s="4">
        <f>VLOOKUP($ET37,$AG$36:$AP$40,7,FALSE)</f>
        <v>98</v>
      </c>
      <c r="FA37" s="4">
        <f>VLOOKUP($ET37,$AG$36:$AP$40,8,FALSE)</f>
        <v>2</v>
      </c>
      <c r="FB37" s="4">
        <f>VLOOKUP($ET37,$AG$36:$AP$40,9,FALSE)</f>
        <v>14</v>
      </c>
      <c r="FE37" s="69">
        <f t="shared" si="14"/>
        <v>37919.1875</v>
      </c>
      <c r="FF37" s="67"/>
      <c r="FG37" s="69">
        <f>FH37</f>
        <v>37919.770833333336</v>
      </c>
      <c r="FH37" s="69">
        <v>37919.770833333336</v>
      </c>
      <c r="FI37" s="69">
        <f t="shared" si="2"/>
        <v>37919.85416666667</v>
      </c>
      <c r="FJ37" s="69">
        <f t="shared" si="9"/>
        <v>37919.4375</v>
      </c>
      <c r="FK37" s="69">
        <f t="shared" si="9"/>
        <v>37919.4375</v>
      </c>
      <c r="FL37" s="69">
        <f t="shared" si="10"/>
        <v>37919.395833333336</v>
      </c>
      <c r="FM37" s="69">
        <f t="shared" si="11"/>
        <v>37919.1875</v>
      </c>
      <c r="FN37" s="69">
        <f t="shared" si="12"/>
        <v>37919.0625</v>
      </c>
      <c r="FO37" s="69">
        <f t="shared" si="13"/>
        <v>37919.145833333336</v>
      </c>
      <c r="FP37" s="67"/>
      <c r="FT37" t="str">
        <f>TEXT(RWC2003!D37,"")&amp;" vs "&amp;TEXT(RWC2003!K37,"")</f>
        <v>Italy vs Wales</v>
      </c>
      <c r="FU37">
        <v>27</v>
      </c>
      <c r="FV37"/>
      <c r="FW37" t="s">
        <v>117</v>
      </c>
      <c r="FX37">
        <v>13</v>
      </c>
    </row>
    <row r="38" spans="2:180" ht="13.5" customHeight="1" thickBot="1">
      <c r="B38" s="1">
        <v>28</v>
      </c>
      <c r="C38" s="88">
        <f t="shared" si="3"/>
        <v>37919.27083333333</v>
      </c>
      <c r="D38" s="46" t="s">
        <v>9</v>
      </c>
      <c r="E38" s="46"/>
      <c r="F38" s="66">
        <v>5</v>
      </c>
      <c r="G38" s="74">
        <v>51</v>
      </c>
      <c r="H38" s="74">
        <v>9</v>
      </c>
      <c r="I38" s="47">
        <v>0</v>
      </c>
      <c r="J38" s="48"/>
      <c r="K38" s="49" t="s">
        <v>35</v>
      </c>
      <c r="L38" s="50" t="s">
        <v>12</v>
      </c>
      <c r="M38" s="51" t="s">
        <v>33</v>
      </c>
      <c r="N38" s="1" t="s">
        <v>38</v>
      </c>
      <c r="P38" s="77" t="str">
        <f t="shared" si="20"/>
        <v>Italy</v>
      </c>
      <c r="Q38" s="78">
        <f t="shared" si="20"/>
        <v>4</v>
      </c>
      <c r="R38" s="78">
        <f t="shared" si="20"/>
        <v>2</v>
      </c>
      <c r="S38" s="78">
        <f t="shared" si="20"/>
        <v>0</v>
      </c>
      <c r="T38" s="78">
        <f t="shared" si="20"/>
        <v>2</v>
      </c>
      <c r="U38" s="78">
        <f t="shared" si="20"/>
        <v>77</v>
      </c>
      <c r="V38" s="78">
        <f t="shared" si="20"/>
        <v>123</v>
      </c>
      <c r="W38" s="78">
        <f t="shared" si="21"/>
        <v>0</v>
      </c>
      <c r="X38" s="79">
        <f t="shared" si="21"/>
        <v>8</v>
      </c>
      <c r="Y38" s="4"/>
      <c r="Z38" s="4"/>
      <c r="AA38" s="1" t="str">
        <f t="shared" si="4"/>
        <v>France</v>
      </c>
      <c r="AB38" s="1" t="str">
        <f t="shared" si="5"/>
        <v>Scotland</v>
      </c>
      <c r="AC38" s="1">
        <f t="shared" si="6"/>
      </c>
      <c r="AD38" s="1" t="str">
        <f t="shared" si="7"/>
        <v>France</v>
      </c>
      <c r="AE38" s="1">
        <f t="shared" si="8"/>
      </c>
      <c r="AG38" s="1" t="s">
        <v>28</v>
      </c>
      <c r="AH38" s="4">
        <f>COUNT(new)</f>
        <v>4</v>
      </c>
      <c r="AI38" s="4">
        <f>COUNTIF($AA$11:$AA$50,AG38)</f>
        <v>4</v>
      </c>
      <c r="AJ38" s="4">
        <f>AH38-AI38-AK38</f>
        <v>0</v>
      </c>
      <c r="AK38" s="4">
        <f>COUNTIF($AB$11:$AB$50,AG38)</f>
        <v>0</v>
      </c>
      <c r="AL38" s="4">
        <f>SUM(new)</f>
        <v>282</v>
      </c>
      <c r="AM38" s="4">
        <f>SUM(new_a)</f>
        <v>57</v>
      </c>
      <c r="AN38" s="4">
        <f>COUNTIF($AC$11:$AE$50,AG38)</f>
        <v>4</v>
      </c>
      <c r="AO38" s="4">
        <f>AI38*win_pts+AJ38*draw_pts+AK38*loss_pts+AN38</f>
        <v>20</v>
      </c>
      <c r="AQ38" s="1" t="str">
        <f>IF(AO38&gt;=AO39,AG38,AG39)</f>
        <v>New Zealand</v>
      </c>
      <c r="AR38" s="1">
        <f>VLOOKUP(AQ38,$AG$36:$AO$40,9,FALSE)</f>
        <v>20</v>
      </c>
      <c r="AS38"/>
      <c r="AT38" s="1" t="str">
        <f>IF(AR38&lt;=AR37,AQ38,AQ37)</f>
        <v>Canada</v>
      </c>
      <c r="AU38" s="1">
        <f>VLOOKUP(AT38,$AG$36:$AO$40,9,FALSE)</f>
        <v>5</v>
      </c>
      <c r="AW38" s="1" t="str">
        <f>IF(AU38&gt;=AU39,AT38,AT39)</f>
        <v>Wales</v>
      </c>
      <c r="AX38" s="1">
        <f>VLOOKUP(AW38,$AG$36:$AO$40,9,FALSE)</f>
        <v>14</v>
      </c>
      <c r="AZ38" s="1" t="str">
        <f>IF(AX38&lt;=AX37,AW38,AW37)</f>
        <v>Italy</v>
      </c>
      <c r="BA38" s="1">
        <f>VLOOKUP(AZ38,$AG$36:$AO$40,9,FALSE)</f>
        <v>8</v>
      </c>
      <c r="BC38" s="1" t="str">
        <f>IF(BA38&gt;=BA39,AZ38,AZ39)</f>
        <v>Italy</v>
      </c>
      <c r="BD38" s="1">
        <f>VLOOKUP(BC38,$AG$36:$AO$40,9,FALSE)</f>
        <v>8</v>
      </c>
      <c r="BE38" s="1" t="str">
        <f>TEXT(BC38,"")&amp;" vs "&amp;TEXT(BC39,"")</f>
        <v>Italy vs Canada</v>
      </c>
      <c r="BF38" s="1" t="str">
        <f>TEXT(BC39,"")&amp;" vs "&amp;TEXT(BC38,"")</f>
        <v>Canada vs Italy</v>
      </c>
      <c r="BG38" s="4">
        <f>IF(ISERROR(VLOOKUP(BE38,RWC2003!$FW$11:$FX$50,2,FALSE)),VLOOKUP(BF38,RWC2003!$FW$11:$FX$50,2,FALSE),VLOOKUP(BE38,RWC2003!$FW$11:$FX$50,2,FALSE))</f>
        <v>21</v>
      </c>
      <c r="BH38" s="4" t="str">
        <f>VLOOKUP(BG38,$B$11:$AA$50,26)</f>
        <v>Italy</v>
      </c>
      <c r="BJ38" s="1" t="str">
        <f>IF(AND(BD38=BD39,BH38=BC39),BC39,BC38)</f>
        <v>Italy</v>
      </c>
      <c r="BK38" s="1">
        <f>VLOOKUP(BJ38,$AG$36:$AO$40,9,FALSE)</f>
        <v>8</v>
      </c>
      <c r="BN38" s="4"/>
      <c r="BO38" s="4"/>
      <c r="BQ38" s="1" t="str">
        <f>IF(AND(BK37=BK38,BO37=BJ38),BJ37,BJ38)</f>
        <v>Italy</v>
      </c>
      <c r="BR38" s="1">
        <f>VLOOKUP(BQ38,$AG$36:$AO$40,9,FALSE)</f>
        <v>8</v>
      </c>
      <c r="BS38" s="1" t="str">
        <f>TEXT(BQ38,"")&amp;" vs "&amp;TEXT(BQ39,"")</f>
        <v>Italy vs Canada</v>
      </c>
      <c r="BT38" s="1" t="str">
        <f>TEXT(BQ39,"")&amp;" vs "&amp;TEXT(BQ38,"")</f>
        <v>Canada vs Italy</v>
      </c>
      <c r="BU38" s="4">
        <f>IF(ISERROR(VLOOKUP(BS38,RWC2003!$FW$11:$FX$50,2,FALSE)),VLOOKUP(BT38,RWC2003!$FW$11:$FX$50,2,FALSE),VLOOKUP(BS38,RWC2003!$FW$11:$FX$50,2,FALSE))</f>
        <v>21</v>
      </c>
      <c r="BV38" s="4" t="str">
        <f>VLOOKUP(BU38,$B$11:$AA$50,26)</f>
        <v>Italy</v>
      </c>
      <c r="BX38" s="1" t="str">
        <f>IF(AND(BR38=BR39,BV38=BQ39),BQ39,BQ38)</f>
        <v>Italy</v>
      </c>
      <c r="BY38" s="1">
        <f>VLOOKUP(BX38,$AG$36:$AO$40,9,FALSE)</f>
        <v>8</v>
      </c>
      <c r="CB38" s="4"/>
      <c r="CC38" s="4"/>
      <c r="CE38" s="1" t="str">
        <f>IF(AND(BY37=BY38,CC37=BX38),BX37,BX38)</f>
        <v>Italy</v>
      </c>
      <c r="CF38" s="1">
        <f>VLOOKUP(CE38,$AG$36:$AO$40,9,FALSE)</f>
        <v>8</v>
      </c>
      <c r="CG38" s="1" t="str">
        <f>TEXT(CE38,"")&amp;" vs "&amp;TEXT(CE39,"")</f>
        <v>Italy vs Canada</v>
      </c>
      <c r="CH38" s="1" t="str">
        <f>TEXT(CE39,"")&amp;" vs "&amp;TEXT(CE38,"")</f>
        <v>Canada vs Italy</v>
      </c>
      <c r="CI38" s="4">
        <f>IF(ISERROR(VLOOKUP(CG38,RWC2003!$FW$11:$FX$50,2,FALSE)),VLOOKUP(CH38,RWC2003!$FW$11:$FX$50,2,FALSE),VLOOKUP(CG38,RWC2003!$FW$11:$FX$50,2,FALSE))</f>
        <v>21</v>
      </c>
      <c r="CJ38" s="4" t="str">
        <f>VLOOKUP(CI38,$B$11:$AA$50,26)</f>
        <v>Italy</v>
      </c>
      <c r="CL38" s="1" t="str">
        <f>IF(AND(CF38=CF39,CJ38=CE39),CE39,CE38)</f>
        <v>Italy</v>
      </c>
      <c r="CM38" s="1">
        <f>VLOOKUP(CL38,$AG$36:$AO$40,9,FALSE)</f>
        <v>8</v>
      </c>
      <c r="CN38" s="1" t="str">
        <f>TEXT(CL38,"")&amp;" vs "&amp;TEXT(CL39,"")</f>
        <v>Italy vs Canada</v>
      </c>
      <c r="CO38" s="1" t="str">
        <f>TEXT(CL39,"")&amp;" vs "&amp;TEXT(CL38,"")</f>
        <v>Canada vs Italy</v>
      </c>
      <c r="CP38" s="4">
        <f>IF(ISERROR(VLOOKUP(CN38,RWC2003!$FW$11:$FX$50,2,FALSE)),VLOOKUP(CO38,RWC2003!$FW$11:$FX$50,2,FALSE),VLOOKUP(CN38,RWC2003!$FW$11:$FX$50,2,FALSE))</f>
        <v>21</v>
      </c>
      <c r="CQ38" s="4" t="str">
        <f>VLOOKUP(CP38,$B$11:$AA$50,26)</f>
        <v>Italy</v>
      </c>
      <c r="CR38" s="4">
        <f>VLOOKUP(CL38,$AG$36:$AO$40,6,FALSE)</f>
        <v>77</v>
      </c>
      <c r="CS38" s="4">
        <f>VLOOKUP(CL38,$AG$36:$AO$40,7,FALSE)</f>
        <v>123</v>
      </c>
      <c r="CT38" s="4">
        <f>CR38-CS38</f>
        <v>-46</v>
      </c>
      <c r="CV38" s="1" t="str">
        <f>IF(AND(CM38=CM39,OR(CQ38="draw",CQ38="")),IF(CT38&gt;=CT39,CL38,CL39),CL38)</f>
        <v>Italy</v>
      </c>
      <c r="CW38" s="1">
        <f>VLOOKUP(CV38,$AG$36:$AO$40,9,FALSE)</f>
        <v>8</v>
      </c>
      <c r="CX38" s="1" t="str">
        <f>TEXT(CV38,"")&amp;" vs "&amp;TEXT(CV39,"")</f>
        <v>Italy vs Canada</v>
      </c>
      <c r="CY38" s="1" t="str">
        <f>TEXT(CV39,"")&amp;" vs "&amp;TEXT(CV38,"")</f>
        <v>Canada vs Italy</v>
      </c>
      <c r="CZ38" s="4">
        <f>IF(ISERROR(VLOOKUP(CX38,RWC2003!$FW$11:$FX$50,2,FALSE)),VLOOKUP(CY38,RWC2003!$FW$11:$FX$50,2,FALSE),VLOOKUP(CX38,RWC2003!$FW$11:$FX$50,2,FALSE))</f>
        <v>21</v>
      </c>
      <c r="DA38" s="4" t="str">
        <f>VLOOKUP(CZ38,$B$11:$AA$50,26)</f>
        <v>Italy</v>
      </c>
      <c r="DB38" s="4">
        <f>VLOOKUP(CV38,$AG$36:$AO$40,6,FALSE)</f>
        <v>77</v>
      </c>
      <c r="DC38" s="4">
        <f>VLOOKUP(CV38,$AG$36:$AO$40,7,FALSE)</f>
        <v>123</v>
      </c>
      <c r="DD38" s="4">
        <f>DB38-DC38</f>
        <v>-46</v>
      </c>
      <c r="DF38" s="1" t="str">
        <f>IF(AND(CW37=CW38,OR(DA37="draw",DA37="")),IF(DD37&gt;=DD38,CV38,CV37),CV38)</f>
        <v>Italy</v>
      </c>
      <c r="DG38" s="1">
        <f>VLOOKUP(DF38,$AG$36:$AO$40,9,FALSE)</f>
        <v>8</v>
      </c>
      <c r="DH38" s="1" t="str">
        <f>TEXT(DF38,"")&amp;" vs "&amp;TEXT(DF39,"")</f>
        <v>Italy vs Canada</v>
      </c>
      <c r="DI38" s="1" t="str">
        <f>TEXT(DF39,"")&amp;" vs "&amp;TEXT(DF38,"")</f>
        <v>Canada vs Italy</v>
      </c>
      <c r="DJ38" s="4">
        <f>IF(ISERROR(VLOOKUP(DH38,RWC2003!$FW$11:$FX$50,2,FALSE)),VLOOKUP(DI38,RWC2003!$FW$11:$FX$50,2,FALSE),VLOOKUP(DH38,RWC2003!$FW$11:$FX$50,2,FALSE))</f>
        <v>21</v>
      </c>
      <c r="DK38" s="4" t="str">
        <f>VLOOKUP(DJ38,$B$11:$AA$50,26)</f>
        <v>Italy</v>
      </c>
      <c r="DL38" s="4">
        <f>VLOOKUP(DF38,$AG$36:$AO$40,6,FALSE)</f>
        <v>77</v>
      </c>
      <c r="DM38" s="4">
        <f>VLOOKUP(DF38,$AG$36:$AO$40,7,FALSE)</f>
        <v>123</v>
      </c>
      <c r="DN38" s="4">
        <f>DL38-DM38</f>
        <v>-46</v>
      </c>
      <c r="DP38" s="1" t="str">
        <f>IF(AND(DG38=DG39,OR(DK38="draw",DK38="")),IF(DN38&gt;=DN39,DF38,DF39),DF38)</f>
        <v>Italy</v>
      </c>
      <c r="DQ38" s="1">
        <f>VLOOKUP(DP38,$AG$36:$AO$40,9,FALSE)</f>
        <v>8</v>
      </c>
      <c r="DR38" s="1" t="str">
        <f>TEXT(DP38,"")&amp;" vs "&amp;TEXT(DP39,"")</f>
        <v>Italy vs Canada</v>
      </c>
      <c r="DS38" s="1" t="str">
        <f>TEXT(DP39,"")&amp;" vs "&amp;TEXT(DP38,"")</f>
        <v>Canada vs Italy</v>
      </c>
      <c r="DT38" s="4">
        <f>IF(ISERROR(VLOOKUP(DR38,RWC2003!$FW$11:$FX$50,2,FALSE)),VLOOKUP(DS38,RWC2003!$FW$11:$FX$50,2,FALSE),VLOOKUP(DR38,RWC2003!$FW$11:$FX$50,2,FALSE))</f>
        <v>21</v>
      </c>
      <c r="DU38" s="4" t="str">
        <f>VLOOKUP(DT38,$B$11:$AA$50,26)</f>
        <v>Italy</v>
      </c>
      <c r="DV38" s="4">
        <f>VLOOKUP(DP38,$AG$36:$AO$40,6,FALSE)</f>
        <v>77</v>
      </c>
      <c r="DW38" s="4">
        <f>VLOOKUP(DP38,$AG$36:$AO$40,7,FALSE)</f>
        <v>123</v>
      </c>
      <c r="DX38" s="4">
        <f>DV38-DW38</f>
        <v>-46</v>
      </c>
      <c r="DZ38" s="1" t="str">
        <f>IF(AND(DQ37=DQ38,OR(DU37="draw",DU37="")),IF(DX37&gt;=DX38,DP38,DP37),DP38)</f>
        <v>Italy</v>
      </c>
      <c r="EA38" s="1">
        <f>VLOOKUP(DZ38,$AG$36:$AO$40,9,FALSE)</f>
        <v>8</v>
      </c>
      <c r="EB38" s="1" t="str">
        <f>TEXT(DZ38,"")&amp;" vs "&amp;TEXT(DZ39,"")</f>
        <v>Italy vs Canada</v>
      </c>
      <c r="EC38" s="1" t="str">
        <f>TEXT(DZ39,"")&amp;" vs "&amp;TEXT(DZ38,"")</f>
        <v>Canada vs Italy</v>
      </c>
      <c r="ED38" s="4">
        <f>IF(ISERROR(VLOOKUP(EB38,RWC2003!$FW$11:$FX$50,2,FALSE)),VLOOKUP(EC38,RWC2003!$FW$11:$FX$50,2,FALSE),VLOOKUP(EB38,RWC2003!$FW$11:$FX$50,2,FALSE))</f>
        <v>21</v>
      </c>
      <c r="EE38" s="4" t="str">
        <f>VLOOKUP(ED38,$B$11:$AA$50,26)</f>
        <v>Italy</v>
      </c>
      <c r="EF38" s="4">
        <f>VLOOKUP(DZ38,$AG$36:$AO$40,6,FALSE)</f>
        <v>77</v>
      </c>
      <c r="EG38" s="4">
        <f>VLOOKUP(DZ38,$AG$36:$AO$40,7,FALSE)</f>
        <v>123</v>
      </c>
      <c r="EH38" s="4">
        <f>EF38-EG38</f>
        <v>-46</v>
      </c>
      <c r="EJ38" s="1" t="str">
        <f>IF(AND(EA38=EA39,OR(EE38="draw",EE38="")),IF(EH38&gt;=EH39,DZ38,DZ39),DZ38)</f>
        <v>Italy</v>
      </c>
      <c r="EK38" s="1">
        <f>VLOOKUP(EJ38,$AG$36:$AO$40,9,FALSE)</f>
        <v>8</v>
      </c>
      <c r="EL38" s="1" t="str">
        <f>TEXT(EJ38,"")&amp;" vs "&amp;TEXT(EJ39,"")</f>
        <v>Italy vs Canada</v>
      </c>
      <c r="EM38" s="1" t="str">
        <f>TEXT(EJ39,"")&amp;" vs "&amp;TEXT(EJ38,"")</f>
        <v>Canada vs Italy</v>
      </c>
      <c r="EN38" s="4">
        <f>IF(ISERROR(VLOOKUP(EL38,RWC2003!$FW$11:$FX$50,2,FALSE)),VLOOKUP(EM38,RWC2003!$FW$11:$FX$50,2,FALSE),VLOOKUP(EL38,RWC2003!$FW$11:$FX$50,2,FALSE))</f>
        <v>21</v>
      </c>
      <c r="EO38" s="4" t="str">
        <f>VLOOKUP(EN38,$B$11:$AA$50,26)</f>
        <v>Italy</v>
      </c>
      <c r="EP38" s="4">
        <f>VLOOKUP(EJ38,$AG$36:$AO$40,6,FALSE)</f>
        <v>77</v>
      </c>
      <c r="EQ38" s="4">
        <f>VLOOKUP(EJ38,$AG$36:$AO$40,7,FALSE)</f>
        <v>123</v>
      </c>
      <c r="ER38" s="4">
        <f>EP38-EQ38</f>
        <v>-46</v>
      </c>
      <c r="ET38" s="1" t="str">
        <f>EJ38</f>
        <v>Italy</v>
      </c>
      <c r="EU38" s="4">
        <f>VLOOKUP($ET38,$AG$36:$AP$40,2,FALSE)</f>
        <v>4</v>
      </c>
      <c r="EV38" s="4">
        <f>VLOOKUP($ET38,$AG$36:$AP$40,3,FALSE)</f>
        <v>2</v>
      </c>
      <c r="EW38" s="4">
        <f>VLOOKUP($ET38,$AG$36:$AP$40,4,FALSE)</f>
        <v>0</v>
      </c>
      <c r="EX38" s="4">
        <f>VLOOKUP($ET38,$AG$36:$AP$40,5,FALSE)</f>
        <v>2</v>
      </c>
      <c r="EY38" s="4">
        <f>VLOOKUP($ET38,$AG$36:$AP$40,6,FALSE)</f>
        <v>77</v>
      </c>
      <c r="EZ38" s="4">
        <f>VLOOKUP($ET38,$AG$36:$AP$40,7,FALSE)</f>
        <v>123</v>
      </c>
      <c r="FA38" s="4">
        <f>VLOOKUP($ET38,$AG$36:$AP$40,8,FALSE)</f>
        <v>0</v>
      </c>
      <c r="FB38" s="4">
        <f>VLOOKUP($ET38,$AG$36:$AP$40,9,FALSE)</f>
        <v>8</v>
      </c>
      <c r="FE38" s="69">
        <f t="shared" si="14"/>
        <v>37919.27083333333</v>
      </c>
      <c r="FF38" s="67"/>
      <c r="FG38" s="69">
        <f>FH38</f>
        <v>37919.854166666664</v>
      </c>
      <c r="FH38" s="69">
        <v>37919.854166666664</v>
      </c>
      <c r="FI38" s="69">
        <f t="shared" si="2"/>
        <v>37919.9375</v>
      </c>
      <c r="FJ38" s="69">
        <f t="shared" si="9"/>
        <v>37919.52083333333</v>
      </c>
      <c r="FK38" s="69">
        <f t="shared" si="9"/>
        <v>37919.52083333333</v>
      </c>
      <c r="FL38" s="69">
        <f t="shared" si="10"/>
        <v>37919.479166666664</v>
      </c>
      <c r="FM38" s="69">
        <f t="shared" si="11"/>
        <v>37919.27083333333</v>
      </c>
      <c r="FN38" s="69">
        <f t="shared" si="12"/>
        <v>37919.14583333333</v>
      </c>
      <c r="FO38" s="69">
        <f t="shared" si="13"/>
        <v>37919.229166666664</v>
      </c>
      <c r="FP38" s="67"/>
      <c r="FT38" t="str">
        <f>TEXT(RWC2003!D38,"")&amp;" vs "&amp;TEXT(RWC2003!K38,"")</f>
        <v>France vs Scotland</v>
      </c>
      <c r="FU38">
        <v>28</v>
      </c>
      <c r="FV38"/>
      <c r="FW38" t="s">
        <v>128</v>
      </c>
      <c r="FX38">
        <v>2</v>
      </c>
    </row>
    <row r="39" spans="1:180" ht="13.5" customHeight="1" thickBot="1">
      <c r="A39" s="76"/>
      <c r="B39" s="1">
        <v>29</v>
      </c>
      <c r="C39" s="88">
        <f t="shared" si="3"/>
        <v>37920.10416666667</v>
      </c>
      <c r="D39" s="46" t="s">
        <v>34</v>
      </c>
      <c r="E39" s="46"/>
      <c r="F39" s="66">
        <v>0</v>
      </c>
      <c r="G39" s="74">
        <v>15</v>
      </c>
      <c r="H39" s="74">
        <v>16</v>
      </c>
      <c r="I39" s="47">
        <v>1</v>
      </c>
      <c r="J39" s="48"/>
      <c r="K39" s="49" t="s">
        <v>75</v>
      </c>
      <c r="L39" s="50" t="s">
        <v>10</v>
      </c>
      <c r="M39" s="51" t="s">
        <v>51</v>
      </c>
      <c r="N39" s="1" t="s">
        <v>52</v>
      </c>
      <c r="P39" s="77" t="str">
        <f t="shared" si="20"/>
        <v>Canada</v>
      </c>
      <c r="Q39" s="78">
        <f t="shared" si="20"/>
        <v>4</v>
      </c>
      <c r="R39" s="78">
        <f t="shared" si="20"/>
        <v>1</v>
      </c>
      <c r="S39" s="78">
        <f t="shared" si="20"/>
        <v>0</v>
      </c>
      <c r="T39" s="78">
        <f t="shared" si="20"/>
        <v>3</v>
      </c>
      <c r="U39" s="78">
        <f t="shared" si="20"/>
        <v>54</v>
      </c>
      <c r="V39" s="78">
        <f t="shared" si="20"/>
        <v>135</v>
      </c>
      <c r="W39" s="78">
        <f t="shared" si="21"/>
        <v>1</v>
      </c>
      <c r="X39" s="79">
        <f t="shared" si="21"/>
        <v>5</v>
      </c>
      <c r="Y39" s="4"/>
      <c r="Z39" s="4"/>
      <c r="AA39" s="1" t="str">
        <f t="shared" si="4"/>
        <v>Ireland</v>
      </c>
      <c r="AB39" s="1" t="str">
        <f t="shared" si="5"/>
        <v>Argentina</v>
      </c>
      <c r="AC39" s="1" t="str">
        <f t="shared" si="6"/>
        <v>Argentina</v>
      </c>
      <c r="AD39" s="1">
        <f t="shared" si="7"/>
      </c>
      <c r="AE39" s="1">
        <f t="shared" si="8"/>
      </c>
      <c r="AG39" s="1" t="s">
        <v>80</v>
      </c>
      <c r="AH39" s="4">
        <f>COUNT(ton)</f>
        <v>4</v>
      </c>
      <c r="AI39" s="4">
        <f>COUNTIF($AA$11:$AA$50,AG39)</f>
        <v>0</v>
      </c>
      <c r="AJ39" s="4">
        <f>AH39-AI39-AK39</f>
        <v>0</v>
      </c>
      <c r="AK39" s="4">
        <f>COUNTIF($AB$11:$AB$50,AG39)</f>
        <v>4</v>
      </c>
      <c r="AL39" s="4">
        <f>SUM(ton)</f>
        <v>46</v>
      </c>
      <c r="AM39" s="4">
        <f>SUM(ton_a)</f>
        <v>178</v>
      </c>
      <c r="AN39" s="4">
        <f>COUNTIF($AC$11:$AE$50,AG39)</f>
        <v>1</v>
      </c>
      <c r="AO39" s="4">
        <f>AI39*win_pts+AJ39*draw_pts+AK39*loss_pts+AN39</f>
        <v>1</v>
      </c>
      <c r="AP39"/>
      <c r="AQ39" s="1" t="str">
        <f>IF(AO39&lt;=AO38,AG39,AG38)</f>
        <v>Tonga</v>
      </c>
      <c r="AR39" s="1">
        <f>VLOOKUP(AQ39,$AG$36:$AO$40,9,FALSE)</f>
        <v>1</v>
      </c>
      <c r="AS39"/>
      <c r="AT39" s="1" t="str">
        <f>IF(AR39&gt;=AR40,AQ39,AQ40)</f>
        <v>Wales</v>
      </c>
      <c r="AU39" s="1">
        <f>VLOOKUP(AT39,$AG$36:$AO$40,9,FALSE)</f>
        <v>14</v>
      </c>
      <c r="AW39" s="1" t="str">
        <f>IF(AU39&lt;=AU38,AT39,AT38)</f>
        <v>Canada</v>
      </c>
      <c r="AX39" s="1">
        <f>VLOOKUP(AW39,$AG$36:$AO$40,9,FALSE)</f>
        <v>5</v>
      </c>
      <c r="AZ39" s="1" t="str">
        <f>IF(AX39&gt;=AX40,AW39,AW40)</f>
        <v>Canada</v>
      </c>
      <c r="BA39" s="1">
        <f>VLOOKUP(AZ39,$AG$36:$AO$40,9,FALSE)</f>
        <v>5</v>
      </c>
      <c r="BC39" s="1" t="str">
        <f>IF(BA39&lt;=BA38,AZ39,AZ38)</f>
        <v>Canada</v>
      </c>
      <c r="BD39" s="1">
        <f>VLOOKUP(BC39,$AG$36:$AO$40,9,FALSE)</f>
        <v>5</v>
      </c>
      <c r="BG39" s="4"/>
      <c r="BH39" s="4"/>
      <c r="BJ39" s="1" t="str">
        <f>IF(AND(BD38=BD39,BH38=BC39),BC38,BC39)</f>
        <v>Canada</v>
      </c>
      <c r="BK39" s="1">
        <f>VLOOKUP(BJ39,$AG$36:$AO$40,9,FALSE)</f>
        <v>5</v>
      </c>
      <c r="BL39" s="1" t="str">
        <f>TEXT(BJ39,"")&amp;" vs "&amp;TEXT(BJ40,"")</f>
        <v>Canada vs Tonga</v>
      </c>
      <c r="BM39" s="1" t="str">
        <f>TEXT(BJ40,"")&amp;" vs "&amp;TEXT(BJ39,"")</f>
        <v>Tonga vs Canada</v>
      </c>
      <c r="BN39" s="4">
        <f>IF(ISERROR(VLOOKUP(BL39,RWC2003!$FW$11:$FX$50,2,FALSE)),VLOOKUP(BM39,RWC2003!$FW$11:$FX$50,2,FALSE),VLOOKUP(BL39,RWC2003!$FW$11:$FX$50,2,FALSE))</f>
        <v>33</v>
      </c>
      <c r="BO39" s="4" t="str">
        <f>VLOOKUP(BN39,$B$11:$AA$50,26)</f>
        <v>Canada</v>
      </c>
      <c r="BQ39" s="1" t="str">
        <f>IF(AND(BK39=BK40,BO39=BJ40),BJ40,BJ39)</f>
        <v>Canada</v>
      </c>
      <c r="BR39" s="1">
        <f>VLOOKUP(BQ39,$AG$36:$AO$40,9,FALSE)</f>
        <v>5</v>
      </c>
      <c r="BU39" s="4"/>
      <c r="BV39" s="4"/>
      <c r="BX39" s="1" t="str">
        <f>IF(AND(BR38=BR39,BV38=BQ39),BQ38,BQ39)</f>
        <v>Canada</v>
      </c>
      <c r="BY39" s="1">
        <f>VLOOKUP(BX39,$AG$36:$AO$40,9,FALSE)</f>
        <v>5</v>
      </c>
      <c r="BZ39" s="1" t="str">
        <f>TEXT(BX39,"")&amp;" vs "&amp;TEXT(BX40,"")</f>
        <v>Canada vs Tonga</v>
      </c>
      <c r="CA39" s="1" t="str">
        <f>TEXT(BX40,"")&amp;" vs "&amp;TEXT(BX39,"")</f>
        <v>Tonga vs Canada</v>
      </c>
      <c r="CB39" s="4">
        <f>IF(ISERROR(VLOOKUP(BZ39,RWC2003!$FW$11:$FX$50,2,FALSE)),VLOOKUP(CA39,RWC2003!$FW$11:$FX$50,2,FALSE),VLOOKUP(BZ39,RWC2003!$FW$11:$FX$50,2,FALSE))</f>
        <v>33</v>
      </c>
      <c r="CC39" s="4" t="str">
        <f>VLOOKUP(CB39,$B$11:$AA$50,26)</f>
        <v>Canada</v>
      </c>
      <c r="CE39" s="1" t="str">
        <f>IF(AND(BY39=BY40,CC39=BX40),BX40,BX39)</f>
        <v>Canada</v>
      </c>
      <c r="CF39" s="1">
        <f>VLOOKUP(CE39,$AG$36:$AO$40,9,FALSE)</f>
        <v>5</v>
      </c>
      <c r="CI39" s="4"/>
      <c r="CJ39" s="4"/>
      <c r="CL39" s="1" t="str">
        <f>IF(AND(CF38=CF39,CJ38=CE39),CE38,CE39)</f>
        <v>Canada</v>
      </c>
      <c r="CM39" s="1">
        <f>VLOOKUP(CL39,$AG$36:$AO$40,9,FALSE)</f>
        <v>5</v>
      </c>
      <c r="CN39" s="1" t="str">
        <f>TEXT(CL39,"")&amp;" vs "&amp;TEXT(CL40,"")</f>
        <v>Canada vs Tonga</v>
      </c>
      <c r="CO39" s="1" t="str">
        <f>TEXT(CL40,"")&amp;" vs "&amp;TEXT(CL39,"")</f>
        <v>Tonga vs Canada</v>
      </c>
      <c r="CP39" s="4">
        <f>IF(ISERROR(VLOOKUP(CN39,RWC2003!$FW$11:$FX$50,2,FALSE)),VLOOKUP(CO39,RWC2003!$FW$11:$FX$50,2,FALSE),VLOOKUP(CN39,RWC2003!$FW$11:$FX$50,2,FALSE))</f>
        <v>33</v>
      </c>
      <c r="CQ39" s="4" t="str">
        <f>VLOOKUP(CP39,$B$11:$AA$50,26)</f>
        <v>Canada</v>
      </c>
      <c r="CR39" s="4">
        <f>VLOOKUP(CL39,$AG$36:$AO$40,6,FALSE)</f>
        <v>54</v>
      </c>
      <c r="CS39" s="4">
        <f>VLOOKUP(CL39,$AG$36:$AO$40,7,FALSE)</f>
        <v>135</v>
      </c>
      <c r="CT39" s="4">
        <f>CR39-CS39</f>
        <v>-81</v>
      </c>
      <c r="CV39" s="1" t="str">
        <f>IF(AND(CM38=CM39,OR(CQ38="draw",CQ38="")),IF(CT38&gt;=CT39,CL39,CL38),CL39)</f>
        <v>Canada</v>
      </c>
      <c r="CW39" s="1">
        <f>VLOOKUP(CV39,$AG$36:$AO$40,9,FALSE)</f>
        <v>5</v>
      </c>
      <c r="CX39" s="1" t="str">
        <f>TEXT(CV39,"")&amp;" vs "&amp;TEXT(CV40,"")</f>
        <v>Canada vs Tonga</v>
      </c>
      <c r="CY39" s="1" t="str">
        <f>TEXT(CV40,"")&amp;" vs "&amp;TEXT(CV39,"")</f>
        <v>Tonga vs Canada</v>
      </c>
      <c r="CZ39" s="4">
        <f>IF(ISERROR(VLOOKUP(CX39,RWC2003!$FW$11:$FX$50,2,FALSE)),VLOOKUP(CY39,RWC2003!$FW$11:$FX$50,2,FALSE),VLOOKUP(CX39,RWC2003!$FW$11:$FX$50,2,FALSE))</f>
        <v>33</v>
      </c>
      <c r="DA39" s="4" t="str">
        <f>VLOOKUP(CZ39,$B$11:$AA$50,26)</f>
        <v>Canada</v>
      </c>
      <c r="DB39" s="4">
        <f>VLOOKUP(CV39,$AG$36:$AO$40,6,FALSE)</f>
        <v>54</v>
      </c>
      <c r="DC39" s="4">
        <f>VLOOKUP(CV39,$AG$36:$AO$40,7,FALSE)</f>
        <v>135</v>
      </c>
      <c r="DD39" s="4">
        <f>DB39-DC39</f>
        <v>-81</v>
      </c>
      <c r="DF39" s="1" t="str">
        <f>IF(AND(CW39=CW40,OR(DA39="draw",DA39="")),IF(DD39&gt;=DD40,CV39,CV40),CV39)</f>
        <v>Canada</v>
      </c>
      <c r="DG39" s="1">
        <f>VLOOKUP(DF39,$AG$36:$AO$40,9,FALSE)</f>
        <v>5</v>
      </c>
      <c r="DH39" s="1" t="str">
        <f>TEXT(DF39,"")&amp;" vs "&amp;TEXT(DF40,"")</f>
        <v>Canada vs Tonga</v>
      </c>
      <c r="DI39" s="1" t="str">
        <f>TEXT(DF40,"")&amp;" vs "&amp;TEXT(DF39,"")</f>
        <v>Tonga vs Canada</v>
      </c>
      <c r="DJ39" s="4">
        <f>IF(ISERROR(VLOOKUP(DH39,RWC2003!$FW$11:$FX$50,2,FALSE)),VLOOKUP(DI39,RWC2003!$FW$11:$FX$50,2,FALSE),VLOOKUP(DH39,RWC2003!$FW$11:$FX$50,2,FALSE))</f>
        <v>33</v>
      </c>
      <c r="DK39" s="4" t="str">
        <f>VLOOKUP(DJ39,$B$11:$AA$50,26)</f>
        <v>Canada</v>
      </c>
      <c r="DL39" s="4">
        <f>VLOOKUP(DF39,$AG$36:$AO$40,6,FALSE)</f>
        <v>54</v>
      </c>
      <c r="DM39" s="4">
        <f>VLOOKUP(DF39,$AG$36:$AO$40,7,FALSE)</f>
        <v>135</v>
      </c>
      <c r="DN39" s="4">
        <f>DL39-DM39</f>
        <v>-81</v>
      </c>
      <c r="DP39" s="1" t="str">
        <f>IF(AND(DG38=DG39,OR(DK38="draw",DK38="")),IF(DN38&gt;=DN39,DF39,DF38),DF39)</f>
        <v>Canada</v>
      </c>
      <c r="DQ39" s="1">
        <f>VLOOKUP(DP39,$AG$36:$AO$40,9,FALSE)</f>
        <v>5</v>
      </c>
      <c r="DR39" s="1" t="str">
        <f>TEXT(DP39,"")&amp;" vs "&amp;TEXT(DP40,"")</f>
        <v>Canada vs Tonga</v>
      </c>
      <c r="DS39" s="1" t="str">
        <f>TEXT(DP40,"")&amp;" vs "&amp;TEXT(DP39,"")</f>
        <v>Tonga vs Canada</v>
      </c>
      <c r="DT39" s="4">
        <f>IF(ISERROR(VLOOKUP(DR39,RWC2003!$FW$11:$FX$50,2,FALSE)),VLOOKUP(DS39,RWC2003!$FW$11:$FX$50,2,FALSE),VLOOKUP(DR39,RWC2003!$FW$11:$FX$50,2,FALSE))</f>
        <v>33</v>
      </c>
      <c r="DU39" s="4" t="str">
        <f>VLOOKUP(DT39,$B$11:$AA$50,26)</f>
        <v>Canada</v>
      </c>
      <c r="DV39" s="4">
        <f>VLOOKUP(DP39,$AG$36:$AO$40,6,FALSE)</f>
        <v>54</v>
      </c>
      <c r="DW39" s="4">
        <f>VLOOKUP(DP39,$AG$36:$AO$40,7,FALSE)</f>
        <v>135</v>
      </c>
      <c r="DX39" s="4">
        <f>DV39-DW39</f>
        <v>-81</v>
      </c>
      <c r="DZ39" s="1" t="str">
        <f>IF(AND(DQ39=DQ40,OR(DU39="draw",DU39="")),IF(DX39&gt;=DX40,DP39,DP40),DP39)</f>
        <v>Canada</v>
      </c>
      <c r="EA39" s="1">
        <f>VLOOKUP(DZ39,$AG$36:$AO$40,9,FALSE)</f>
        <v>5</v>
      </c>
      <c r="EB39" s="1" t="str">
        <f>TEXT(DZ39,"")&amp;" vs "&amp;TEXT(DZ40,"")</f>
        <v>Canada vs Tonga</v>
      </c>
      <c r="EC39" s="1" t="str">
        <f>TEXT(DZ40,"")&amp;" vs "&amp;TEXT(DZ39,"")</f>
        <v>Tonga vs Canada</v>
      </c>
      <c r="ED39" s="4">
        <f>IF(ISERROR(VLOOKUP(EB39,RWC2003!$FW$11:$FX$50,2,FALSE)),VLOOKUP(EC39,RWC2003!$FW$11:$FX$50,2,FALSE),VLOOKUP(EB39,RWC2003!$FW$11:$FX$50,2,FALSE))</f>
        <v>33</v>
      </c>
      <c r="EE39" s="4" t="str">
        <f>VLOOKUP(ED39,$B$11:$AA$50,26)</f>
        <v>Canada</v>
      </c>
      <c r="EF39" s="4">
        <f>VLOOKUP(DZ39,$AG$36:$AO$40,6,FALSE)</f>
        <v>54</v>
      </c>
      <c r="EG39" s="4">
        <f>VLOOKUP(DZ39,$AG$36:$AO$40,7,FALSE)</f>
        <v>135</v>
      </c>
      <c r="EH39" s="4">
        <f>EF39-EG39</f>
        <v>-81</v>
      </c>
      <c r="EJ39" s="1" t="str">
        <f>IF(AND(EA38=EA39,OR(EE38="draw",EE38="")),IF(EH38&gt;=EH39,DZ39,DZ38),DZ39)</f>
        <v>Canada</v>
      </c>
      <c r="EK39" s="1">
        <f>VLOOKUP(EJ39,$AG$36:$AO$40,9,FALSE)</f>
        <v>5</v>
      </c>
      <c r="EL39" s="1" t="str">
        <f>TEXT(EJ39,"")&amp;" vs "&amp;TEXT(EJ40,"")</f>
        <v>Canada vs Tonga</v>
      </c>
      <c r="EM39" s="1" t="str">
        <f>TEXT(EJ40,"")&amp;" vs "&amp;TEXT(EJ39,"")</f>
        <v>Tonga vs Canada</v>
      </c>
      <c r="EN39" s="4">
        <f>IF(ISERROR(VLOOKUP(EL39,RWC2003!$FW$11:$FX$50,2,FALSE)),VLOOKUP(EM39,RWC2003!$FW$11:$FX$50,2,FALSE),VLOOKUP(EL39,RWC2003!$FW$11:$FX$50,2,FALSE))</f>
        <v>33</v>
      </c>
      <c r="EO39" s="4" t="str">
        <f>VLOOKUP(EN39,$B$11:$AA$50,26)</f>
        <v>Canada</v>
      </c>
      <c r="EP39" s="4">
        <f>VLOOKUP(EJ39,$AG$36:$AO$40,6,FALSE)</f>
        <v>54</v>
      </c>
      <c r="EQ39" s="4">
        <f>VLOOKUP(EJ39,$AG$36:$AO$40,7,FALSE)</f>
        <v>135</v>
      </c>
      <c r="ER39" s="4">
        <f>EP39-EQ39</f>
        <v>-81</v>
      </c>
      <c r="ET39" s="1" t="str">
        <f>EJ39</f>
        <v>Canada</v>
      </c>
      <c r="EU39" s="4">
        <f>VLOOKUP($ET39,$AG$36:$AP$40,2,FALSE)</f>
        <v>4</v>
      </c>
      <c r="EV39" s="4">
        <f>VLOOKUP($ET39,$AG$36:$AP$40,3,FALSE)</f>
        <v>1</v>
      </c>
      <c r="EW39" s="4">
        <f>VLOOKUP($ET39,$AG$36:$AP$40,4,FALSE)</f>
        <v>0</v>
      </c>
      <c r="EX39" s="4">
        <f>VLOOKUP($ET39,$AG$36:$AP$40,5,FALSE)</f>
        <v>3</v>
      </c>
      <c r="EY39" s="4">
        <f>VLOOKUP($ET39,$AG$36:$AP$40,6,FALSE)</f>
        <v>54</v>
      </c>
      <c r="EZ39" s="4">
        <f>VLOOKUP($ET39,$AG$36:$AP$40,7,FALSE)</f>
        <v>135</v>
      </c>
      <c r="FA39" s="4">
        <f>VLOOKUP($ET39,$AG$36:$AP$40,8,FALSE)</f>
        <v>1</v>
      </c>
      <c r="FB39" s="4">
        <f>VLOOKUP($ET39,$AG$36:$AP$40,9,FALSE)</f>
        <v>5</v>
      </c>
      <c r="FE39" s="69">
        <f t="shared" si="14"/>
        <v>37920.10416666667</v>
      </c>
      <c r="FF39" s="67"/>
      <c r="FG39" s="69">
        <f>FH39-(0.5/24)</f>
        <v>37920.75</v>
      </c>
      <c r="FH39" s="69">
        <v>37920.770833333336</v>
      </c>
      <c r="FI39" s="69">
        <f t="shared" si="2"/>
        <v>37920.85416666667</v>
      </c>
      <c r="FJ39" s="69">
        <f>$FH39-(9/24)</f>
        <v>37920.395833333336</v>
      </c>
      <c r="FK39" s="69">
        <f>$FH39-(10/24)</f>
        <v>37920.35416666667</v>
      </c>
      <c r="FL39" s="69">
        <f>$FH39-(11/24)</f>
        <v>37920.3125</v>
      </c>
      <c r="FM39" s="69">
        <f>$FH39-(16/24)</f>
        <v>37920.10416666667</v>
      </c>
      <c r="FN39" s="69">
        <f>$FH39-(19/24)</f>
        <v>37919.97916666667</v>
      </c>
      <c r="FO39" s="69">
        <f>$FH39-(17/24)</f>
        <v>37920.0625</v>
      </c>
      <c r="FP39" s="67"/>
      <c r="FT39" t="str">
        <f>TEXT(RWC2003!D39,"")&amp;" vs "&amp;TEXT(RWC2003!K39,"")</f>
        <v>Argentina vs Ireland</v>
      </c>
      <c r="FU39">
        <v>29</v>
      </c>
      <c r="FV39"/>
      <c r="FW39" t="s">
        <v>106</v>
      </c>
      <c r="FX39">
        <v>24</v>
      </c>
    </row>
    <row r="40" spans="1:180" ht="13.5" customHeight="1" thickBot="1">
      <c r="A40" s="76"/>
      <c r="B40" s="1">
        <v>30</v>
      </c>
      <c r="C40" s="88">
        <f t="shared" si="3"/>
        <v>37920.1875</v>
      </c>
      <c r="D40" s="46" t="s">
        <v>36</v>
      </c>
      <c r="E40" s="46"/>
      <c r="F40" s="66">
        <v>4</v>
      </c>
      <c r="G40" s="74">
        <v>35</v>
      </c>
      <c r="H40" s="74">
        <v>22</v>
      </c>
      <c r="I40" s="47">
        <v>1</v>
      </c>
      <c r="J40" s="49"/>
      <c r="K40" s="49" t="s">
        <v>72</v>
      </c>
      <c r="L40" s="50" t="s">
        <v>13</v>
      </c>
      <c r="M40" s="51" t="s">
        <v>39</v>
      </c>
      <c r="N40" s="1" t="s">
        <v>81</v>
      </c>
      <c r="P40" s="80" t="str">
        <f t="shared" si="20"/>
        <v>Tonga</v>
      </c>
      <c r="Q40" s="81">
        <f t="shared" si="20"/>
        <v>4</v>
      </c>
      <c r="R40" s="81">
        <f t="shared" si="20"/>
        <v>0</v>
      </c>
      <c r="S40" s="81">
        <f t="shared" si="20"/>
        <v>0</v>
      </c>
      <c r="T40" s="81">
        <f t="shared" si="20"/>
        <v>4</v>
      </c>
      <c r="U40" s="81">
        <f t="shared" si="20"/>
        <v>46</v>
      </c>
      <c r="V40" s="81">
        <f t="shared" si="20"/>
        <v>178</v>
      </c>
      <c r="W40" s="81">
        <f t="shared" si="21"/>
        <v>1</v>
      </c>
      <c r="X40" s="82">
        <f t="shared" si="21"/>
        <v>1</v>
      </c>
      <c r="Y40" s="4"/>
      <c r="Z40" s="4"/>
      <c r="AA40" s="1" t="str">
        <f t="shared" si="4"/>
        <v>England</v>
      </c>
      <c r="AB40" s="1" t="str">
        <f t="shared" si="5"/>
        <v>Samoa</v>
      </c>
      <c r="AC40" s="1">
        <f t="shared" si="6"/>
      </c>
      <c r="AD40" s="1" t="str">
        <f t="shared" si="7"/>
        <v>England</v>
      </c>
      <c r="AE40" s="1">
        <f t="shared" si="8"/>
      </c>
      <c r="AG40" s="1" t="s">
        <v>37</v>
      </c>
      <c r="AH40" s="4">
        <f>COUNT(wal)</f>
        <v>4</v>
      </c>
      <c r="AI40" s="4">
        <f>COUNTIF($AA$11:$AA$50,AG40)</f>
        <v>3</v>
      </c>
      <c r="AJ40" s="4">
        <f>AH40-AI40-AK40</f>
        <v>0</v>
      </c>
      <c r="AK40" s="4">
        <f>COUNTIF($AB$11:$AB$50,AG40)</f>
        <v>1</v>
      </c>
      <c r="AL40" s="4">
        <f>SUM(wal)</f>
        <v>132</v>
      </c>
      <c r="AM40" s="4">
        <f>SUM(wal_a)</f>
        <v>98</v>
      </c>
      <c r="AN40" s="4">
        <f>COUNTIF($AC$11:$AE$50,AG40)</f>
        <v>2</v>
      </c>
      <c r="AO40" s="4">
        <f>AI40*win_pts+AJ40*draw_pts+AK40*loss_pts+AN40</f>
        <v>14</v>
      </c>
      <c r="AP40"/>
      <c r="AQ40" s="1" t="str">
        <f>AG40</f>
        <v>Wales</v>
      </c>
      <c r="AR40" s="1">
        <f>VLOOKUP(AQ40,$AG$36:$AO$40,9,FALSE)</f>
        <v>14</v>
      </c>
      <c r="AS40"/>
      <c r="AT40" s="1" t="str">
        <f>IF(AR40&lt;=AR39,AQ40,AQ39)</f>
        <v>Tonga</v>
      </c>
      <c r="AU40" s="1">
        <f>VLOOKUP(AT40,$AG$36:$AO$40,9,FALSE)</f>
        <v>1</v>
      </c>
      <c r="AW40" s="1" t="str">
        <f>AT40</f>
        <v>Tonga</v>
      </c>
      <c r="AX40" s="1">
        <f>AU40</f>
        <v>1</v>
      </c>
      <c r="AZ40" s="1" t="str">
        <f>IF(AX40&lt;=AX39,AW40,AW39)</f>
        <v>Tonga</v>
      </c>
      <c r="BA40" s="1">
        <f>VLOOKUP(AZ40,$AG$36:$AO$40,9,FALSE)</f>
        <v>1</v>
      </c>
      <c r="BC40" s="1" t="str">
        <f>AZ40</f>
        <v>Tonga</v>
      </c>
      <c r="BD40" s="1">
        <f>BA40</f>
        <v>1</v>
      </c>
      <c r="BG40" s="4"/>
      <c r="BH40" s="4"/>
      <c r="BJ40" s="1" t="str">
        <f>BC40</f>
        <v>Tonga</v>
      </c>
      <c r="BK40" s="1">
        <f>BH40</f>
        <v>0</v>
      </c>
      <c r="BN40" s="4"/>
      <c r="BO40" s="4"/>
      <c r="BQ40" s="1" t="str">
        <f>IF(AND(BK39=BK40,BO39=BJ40),BJ39,BJ40)</f>
        <v>Tonga</v>
      </c>
      <c r="BR40" s="1">
        <f>BO40</f>
        <v>0</v>
      </c>
      <c r="BU40" s="4"/>
      <c r="BV40" s="4"/>
      <c r="BX40" s="1" t="str">
        <f>BQ40</f>
        <v>Tonga</v>
      </c>
      <c r="BY40" s="1">
        <f>BV40</f>
        <v>0</v>
      </c>
      <c r="CB40" s="4"/>
      <c r="CC40" s="4"/>
      <c r="CE40" s="1" t="str">
        <f>IF(AND(BY39=BY40,CC39=BX40),BX39,BX40)</f>
        <v>Tonga</v>
      </c>
      <c r="CF40" s="1">
        <f>CC40</f>
        <v>0</v>
      </c>
      <c r="CI40" s="4"/>
      <c r="CJ40" s="4"/>
      <c r="CL40" s="1" t="str">
        <f>CE40</f>
        <v>Tonga</v>
      </c>
      <c r="CM40" s="1">
        <f>CJ40</f>
        <v>0</v>
      </c>
      <c r="CR40" s="4">
        <f>VLOOKUP(CL40,$AG$36:$AO$40,6,FALSE)</f>
        <v>46</v>
      </c>
      <c r="CS40" s="4">
        <f>VLOOKUP(CL40,$AG$36:$AO$40,7,FALSE)</f>
        <v>178</v>
      </c>
      <c r="CT40" s="4">
        <f>CR40-CS40</f>
        <v>-132</v>
      </c>
      <c r="CV40" s="1" t="str">
        <f>CL40</f>
        <v>Tonga</v>
      </c>
      <c r="CW40" s="1">
        <f>VLOOKUP(CV40,$AG$36:$AO$40,9,FALSE)</f>
        <v>1</v>
      </c>
      <c r="DB40" s="4">
        <f>VLOOKUP(CV40,$AG$36:$AO$40,6,FALSE)</f>
        <v>46</v>
      </c>
      <c r="DC40" s="4">
        <f>VLOOKUP(CV40,$AG$36:$AO$40,7,FALSE)</f>
        <v>178</v>
      </c>
      <c r="DD40" s="4">
        <f>DB40-DC40</f>
        <v>-132</v>
      </c>
      <c r="DF40" s="1" t="str">
        <f>IF(AND(CW39=CW40,OR(DA39="draw",DA39="")),IF(DD39&gt;=DD40,CV40,CV39),CV40)</f>
        <v>Tonga</v>
      </c>
      <c r="DG40" s="1">
        <f>VLOOKUP(DF40,$AG$36:$AO$40,9,FALSE)</f>
        <v>1</v>
      </c>
      <c r="DL40" s="4">
        <f>VLOOKUP(DF40,$AG$36:$AO$40,6,FALSE)</f>
        <v>46</v>
      </c>
      <c r="DM40" s="4">
        <f>VLOOKUP(DF40,$AG$36:$AO$40,7,FALSE)</f>
        <v>178</v>
      </c>
      <c r="DN40" s="4">
        <f>DL40-DM40</f>
        <v>-132</v>
      </c>
      <c r="DP40" s="1" t="str">
        <f>DF40</f>
        <v>Tonga</v>
      </c>
      <c r="DQ40" s="1">
        <f>VLOOKUP(DP40,$AG$36:$AO$40,9,FALSE)</f>
        <v>1</v>
      </c>
      <c r="DV40" s="4">
        <f>VLOOKUP(DP40,$AG$36:$AO$40,6,FALSE)</f>
        <v>46</v>
      </c>
      <c r="DW40" s="4">
        <f>VLOOKUP(DP40,$AG$36:$AO$40,7,FALSE)</f>
        <v>178</v>
      </c>
      <c r="DX40" s="4">
        <f>DV40-DW40</f>
        <v>-132</v>
      </c>
      <c r="DZ40" s="1" t="str">
        <f>IF(AND(DQ39=DQ40,OR(DU39="draw",DU39="")),IF(DX39&gt;=DX40,DP40,DP39),DP40)</f>
        <v>Tonga</v>
      </c>
      <c r="EA40" s="1">
        <f>VLOOKUP(DZ40,$AG$36:$AO$40,9,FALSE)</f>
        <v>1</v>
      </c>
      <c r="EF40" s="4">
        <f>VLOOKUP(DZ40,$AG$36:$AO$40,6,FALSE)</f>
        <v>46</v>
      </c>
      <c r="EG40" s="4">
        <f>VLOOKUP(DZ40,$AG$36:$AO$40,7,FALSE)</f>
        <v>178</v>
      </c>
      <c r="EH40" s="4">
        <f>EF40-EG40</f>
        <v>-132</v>
      </c>
      <c r="EJ40" s="1" t="str">
        <f>DZ40</f>
        <v>Tonga</v>
      </c>
      <c r="EK40" s="1">
        <f>VLOOKUP(EJ40,$AG$36:$AO$40,9,FALSE)</f>
        <v>1</v>
      </c>
      <c r="EP40" s="4">
        <f>VLOOKUP(EJ40,$AG$36:$AO$40,6,FALSE)</f>
        <v>46</v>
      </c>
      <c r="EQ40" s="4">
        <f>VLOOKUP(EJ40,$AG$36:$AO$40,7,FALSE)</f>
        <v>178</v>
      </c>
      <c r="ER40" s="4">
        <f>EP40-EQ40</f>
        <v>-132</v>
      </c>
      <c r="ET40" s="1" t="str">
        <f>EJ40</f>
        <v>Tonga</v>
      </c>
      <c r="EU40" s="4">
        <f>VLOOKUP($ET40,$AG$36:$AP$40,2,FALSE)</f>
        <v>4</v>
      </c>
      <c r="EV40" s="4">
        <f>VLOOKUP($ET40,$AG$36:$AP$40,3,FALSE)</f>
        <v>0</v>
      </c>
      <c r="EW40" s="4">
        <f>VLOOKUP($ET40,$AG$36:$AP$40,4,FALSE)</f>
        <v>0</v>
      </c>
      <c r="EX40" s="4">
        <f>VLOOKUP($ET40,$AG$36:$AP$40,5,FALSE)</f>
        <v>4</v>
      </c>
      <c r="EY40" s="4">
        <f>VLOOKUP($ET40,$AG$36:$AP$40,6,FALSE)</f>
        <v>46</v>
      </c>
      <c r="EZ40" s="4">
        <f>VLOOKUP($ET40,$AG$36:$AP$40,7,FALSE)</f>
        <v>178</v>
      </c>
      <c r="FA40" s="4">
        <f>VLOOKUP($ET40,$AG$36:$AP$40,8,FALSE)</f>
        <v>1</v>
      </c>
      <c r="FB40" s="4">
        <f>VLOOKUP($ET40,$AG$36:$AP$40,9,FALSE)</f>
        <v>1</v>
      </c>
      <c r="FE40" s="69">
        <f t="shared" si="14"/>
        <v>37920.1875</v>
      </c>
      <c r="FF40" s="67"/>
      <c r="FG40" s="69">
        <f>FH40</f>
        <v>37920.854166666664</v>
      </c>
      <c r="FH40" s="69">
        <v>37920.854166666664</v>
      </c>
      <c r="FI40" s="69">
        <f t="shared" si="2"/>
        <v>37920.9375</v>
      </c>
      <c r="FJ40" s="69">
        <f aca="true" t="shared" si="22" ref="FJ40:FJ50">$FH40-(9/24)</f>
        <v>37920.479166666664</v>
      </c>
      <c r="FK40" s="69">
        <f aca="true" t="shared" si="23" ref="FK40:FK50">$FH40-(10/24)</f>
        <v>37920.4375</v>
      </c>
      <c r="FL40" s="69">
        <f aca="true" t="shared" si="24" ref="FL40:FL50">$FH40-(11/24)</f>
        <v>37920.39583333333</v>
      </c>
      <c r="FM40" s="69">
        <f aca="true" t="shared" si="25" ref="FM40:FM50">$FH40-(16/24)</f>
        <v>37920.1875</v>
      </c>
      <c r="FN40" s="69">
        <f aca="true" t="shared" si="26" ref="FN40:FN50">$FH40-(19/24)</f>
        <v>37920.0625</v>
      </c>
      <c r="FO40" s="69">
        <f aca="true" t="shared" si="27" ref="FO40:FO50">$FH40-(17/24)</f>
        <v>37920.14583333333</v>
      </c>
      <c r="FP40" s="67"/>
      <c r="FT40" t="str">
        <f>TEXT(RWC2003!D40,"")&amp;" vs "&amp;TEXT(RWC2003!K40,"")</f>
        <v>England vs Samoa</v>
      </c>
      <c r="FU40">
        <v>30</v>
      </c>
      <c r="FV40"/>
      <c r="FW40" t="s">
        <v>90</v>
      </c>
      <c r="FX40">
        <v>40</v>
      </c>
    </row>
    <row r="41" spans="2:180" ht="13.5" customHeight="1" thickBot="1">
      <c r="B41" s="1">
        <v>31</v>
      </c>
      <c r="C41" s="88">
        <f t="shared" si="3"/>
        <v>37921.145833333336</v>
      </c>
      <c r="D41" s="46" t="s">
        <v>71</v>
      </c>
      <c r="E41" s="46"/>
      <c r="F41" s="66">
        <v>2</v>
      </c>
      <c r="G41" s="74">
        <v>26</v>
      </c>
      <c r="H41" s="74">
        <v>39</v>
      </c>
      <c r="I41" s="47">
        <v>5</v>
      </c>
      <c r="J41" s="48"/>
      <c r="K41" s="49" t="s">
        <v>85</v>
      </c>
      <c r="L41" s="50" t="s">
        <v>12</v>
      </c>
      <c r="M41" s="51" t="s">
        <v>42</v>
      </c>
      <c r="N41" s="1" t="s">
        <v>82</v>
      </c>
      <c r="Y41" s="4"/>
      <c r="Z41" s="4"/>
      <c r="AA41" s="1" t="str">
        <f t="shared" si="4"/>
        <v>USA</v>
      </c>
      <c r="AB41" s="1" t="str">
        <f t="shared" si="5"/>
        <v>Japan</v>
      </c>
      <c r="AC41" s="1">
        <f t="shared" si="6"/>
      </c>
      <c r="AD41" s="1">
        <f t="shared" si="7"/>
      </c>
      <c r="AE41" s="1" t="str">
        <f t="shared" si="8"/>
        <v>USA</v>
      </c>
      <c r="AG41"/>
      <c r="AH41"/>
      <c r="AI41"/>
      <c r="AJ41"/>
      <c r="AK41"/>
      <c r="AL41"/>
      <c r="AM41"/>
      <c r="AN41"/>
      <c r="AO41"/>
      <c r="AP41"/>
      <c r="CK41" s="4"/>
      <c r="FE41" s="69">
        <f t="shared" si="14"/>
        <v>37921.145833333336</v>
      </c>
      <c r="FF41" s="67"/>
      <c r="FG41" s="69">
        <f aca="true" t="shared" si="28" ref="FG41:FG46">FH41</f>
        <v>37921.8125</v>
      </c>
      <c r="FH41" s="69">
        <v>37921.8125</v>
      </c>
      <c r="FI41" s="69">
        <f t="shared" si="2"/>
        <v>37921.895833333336</v>
      </c>
      <c r="FJ41" s="69">
        <f t="shared" si="22"/>
        <v>37921.4375</v>
      </c>
      <c r="FK41" s="69">
        <f t="shared" si="23"/>
        <v>37921.395833333336</v>
      </c>
      <c r="FL41" s="69">
        <f t="shared" si="24"/>
        <v>37921.354166666664</v>
      </c>
      <c r="FM41" s="69">
        <f t="shared" si="25"/>
        <v>37921.145833333336</v>
      </c>
      <c r="FN41" s="69">
        <f t="shared" si="26"/>
        <v>37921.020833333336</v>
      </c>
      <c r="FO41" s="69">
        <f t="shared" si="27"/>
        <v>37921.104166666664</v>
      </c>
      <c r="FP41" s="67"/>
      <c r="FT41" t="str">
        <f>TEXT(RWC2003!D41,"")&amp;" vs "&amp;TEXT(RWC2003!K41,"")</f>
        <v>Japan vs USA</v>
      </c>
      <c r="FU41">
        <v>31</v>
      </c>
      <c r="FV41"/>
      <c r="FW41" t="s">
        <v>118</v>
      </c>
      <c r="FX41">
        <v>12</v>
      </c>
    </row>
    <row r="42" spans="2:180" ht="13.5" customHeight="1" thickBot="1">
      <c r="B42" s="1">
        <v>32</v>
      </c>
      <c r="C42" s="88">
        <f t="shared" si="3"/>
        <v>37922.145833333336</v>
      </c>
      <c r="D42" s="46" t="s">
        <v>79</v>
      </c>
      <c r="E42" s="46"/>
      <c r="F42" s="66">
        <v>0</v>
      </c>
      <c r="G42" s="74">
        <v>12</v>
      </c>
      <c r="H42" s="74">
        <v>24</v>
      </c>
      <c r="I42" s="47">
        <v>3</v>
      </c>
      <c r="J42" s="48"/>
      <c r="K42" s="49" t="s">
        <v>73</v>
      </c>
      <c r="L42" s="50" t="s">
        <v>13</v>
      </c>
      <c r="M42" s="51" t="s">
        <v>33</v>
      </c>
      <c r="N42" s="1" t="s">
        <v>49</v>
      </c>
      <c r="P42"/>
      <c r="Q42"/>
      <c r="R42"/>
      <c r="S42"/>
      <c r="T42"/>
      <c r="U42"/>
      <c r="V42"/>
      <c r="W42"/>
      <c r="X42"/>
      <c r="AA42" s="1" t="str">
        <f t="shared" si="4"/>
        <v>Uruguay</v>
      </c>
      <c r="AB42" s="1" t="str">
        <f t="shared" si="5"/>
        <v>Georgia</v>
      </c>
      <c r="AC42" s="1">
        <f t="shared" si="6"/>
      </c>
      <c r="AD42" s="1">
        <f t="shared" si="7"/>
      </c>
      <c r="AE42" s="1">
        <f t="shared" si="8"/>
      </c>
      <c r="AG42"/>
      <c r="AH42"/>
      <c r="AI42"/>
      <c r="AJ42"/>
      <c r="AK42"/>
      <c r="AL42"/>
      <c r="AM42"/>
      <c r="AN42"/>
      <c r="AO42"/>
      <c r="AP42"/>
      <c r="FE42" s="69">
        <f t="shared" si="14"/>
        <v>37922.145833333336</v>
      </c>
      <c r="FF42" s="67"/>
      <c r="FG42" s="69">
        <f t="shared" si="28"/>
        <v>37922.8125</v>
      </c>
      <c r="FH42" s="69">
        <v>37922.8125</v>
      </c>
      <c r="FI42" s="69">
        <f t="shared" si="2"/>
        <v>37922.895833333336</v>
      </c>
      <c r="FJ42" s="69">
        <f t="shared" si="22"/>
        <v>37922.4375</v>
      </c>
      <c r="FK42" s="69">
        <f t="shared" si="23"/>
        <v>37922.395833333336</v>
      </c>
      <c r="FL42" s="69">
        <f t="shared" si="24"/>
        <v>37922.354166666664</v>
      </c>
      <c r="FM42" s="69">
        <f t="shared" si="25"/>
        <v>37922.145833333336</v>
      </c>
      <c r="FN42" s="69">
        <f t="shared" si="26"/>
        <v>37922.020833333336</v>
      </c>
      <c r="FO42" s="69">
        <f t="shared" si="27"/>
        <v>37922.104166666664</v>
      </c>
      <c r="FP42" s="67"/>
      <c r="FT42" t="str">
        <f>TEXT(RWC2003!D42,"")&amp;" vs "&amp;TEXT(RWC2003!K42,"")</f>
        <v>Georgia vs Uruguay</v>
      </c>
      <c r="FU42">
        <v>32</v>
      </c>
      <c r="FV42"/>
      <c r="FW42" t="s">
        <v>94</v>
      </c>
      <c r="FX42">
        <v>36</v>
      </c>
    </row>
    <row r="43" spans="2:180" ht="13.5" customHeight="1" thickBot="1">
      <c r="B43" s="1">
        <v>33</v>
      </c>
      <c r="C43" s="88">
        <f t="shared" si="3"/>
        <v>37923.145833333336</v>
      </c>
      <c r="D43" s="46" t="s">
        <v>74</v>
      </c>
      <c r="E43" s="46"/>
      <c r="F43" s="66">
        <v>2</v>
      </c>
      <c r="G43" s="74">
        <v>24</v>
      </c>
      <c r="H43" s="74">
        <v>7</v>
      </c>
      <c r="I43" s="47">
        <v>1</v>
      </c>
      <c r="J43" s="48"/>
      <c r="K43" s="49" t="s">
        <v>80</v>
      </c>
      <c r="L43" s="50" t="s">
        <v>5</v>
      </c>
      <c r="M43" s="51" t="s">
        <v>53</v>
      </c>
      <c r="N43" s="1" t="s">
        <v>83</v>
      </c>
      <c r="P43"/>
      <c r="Q43"/>
      <c r="R43"/>
      <c r="S43"/>
      <c r="T43"/>
      <c r="U43"/>
      <c r="V43"/>
      <c r="W43"/>
      <c r="X43"/>
      <c r="AA43" s="1" t="str">
        <f t="shared" si="4"/>
        <v>Canada</v>
      </c>
      <c r="AB43" s="1" t="str">
        <f t="shared" si="5"/>
        <v>Tonga</v>
      </c>
      <c r="AC43" s="1">
        <f t="shared" si="6"/>
      </c>
      <c r="AD43" s="1">
        <f t="shared" si="7"/>
      </c>
      <c r="AE43" s="1">
        <f t="shared" si="8"/>
      </c>
      <c r="AG43"/>
      <c r="AH43"/>
      <c r="AI43"/>
      <c r="AJ43"/>
      <c r="AK43"/>
      <c r="AL43"/>
      <c r="AM43"/>
      <c r="AN43"/>
      <c r="AO43"/>
      <c r="AP43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FE43" s="69">
        <f t="shared" si="14"/>
        <v>37923.145833333336</v>
      </c>
      <c r="FF43" s="67"/>
      <c r="FG43" s="69">
        <f t="shared" si="28"/>
        <v>37923.8125</v>
      </c>
      <c r="FH43" s="69">
        <v>37923.8125</v>
      </c>
      <c r="FI43" s="69">
        <f t="shared" si="2"/>
        <v>37923.895833333336</v>
      </c>
      <c r="FJ43" s="69">
        <f t="shared" si="22"/>
        <v>37923.4375</v>
      </c>
      <c r="FK43" s="69">
        <f t="shared" si="23"/>
        <v>37923.395833333336</v>
      </c>
      <c r="FL43" s="69">
        <f t="shared" si="24"/>
        <v>37923.354166666664</v>
      </c>
      <c r="FM43" s="69">
        <f t="shared" si="25"/>
        <v>37923.145833333336</v>
      </c>
      <c r="FN43" s="69">
        <f t="shared" si="26"/>
        <v>37923.020833333336</v>
      </c>
      <c r="FO43" s="69">
        <f t="shared" si="27"/>
        <v>37923.104166666664</v>
      </c>
      <c r="FP43" s="67"/>
      <c r="FT43" t="str">
        <f>TEXT(RWC2003!D43,"")&amp;" vs "&amp;TEXT(RWC2003!K43,"")</f>
        <v>Canada vs Tonga</v>
      </c>
      <c r="FU43">
        <v>33</v>
      </c>
      <c r="FV43"/>
      <c r="FW43" t="s">
        <v>123</v>
      </c>
      <c r="FX43">
        <v>7</v>
      </c>
    </row>
    <row r="44" spans="1:180" ht="13.5" customHeight="1" thickBot="1">
      <c r="A44" s="76"/>
      <c r="B44" s="1">
        <v>34</v>
      </c>
      <c r="C44" s="88">
        <f t="shared" si="3"/>
        <v>37924.16666666667</v>
      </c>
      <c r="D44" s="46" t="s">
        <v>77</v>
      </c>
      <c r="E44" s="46"/>
      <c r="F44" s="66">
        <v>1</v>
      </c>
      <c r="G44" s="74">
        <v>7</v>
      </c>
      <c r="H44" s="74">
        <v>37</v>
      </c>
      <c r="I44" s="47">
        <v>5</v>
      </c>
      <c r="J44" s="48"/>
      <c r="K44" s="49" t="s">
        <v>78</v>
      </c>
      <c r="L44" s="50" t="s">
        <v>10</v>
      </c>
      <c r="M44" s="51" t="s">
        <v>54</v>
      </c>
      <c r="N44" s="1" t="s">
        <v>55</v>
      </c>
      <c r="P44"/>
      <c r="Q44"/>
      <c r="R44"/>
      <c r="S44"/>
      <c r="T44"/>
      <c r="U44"/>
      <c r="V44"/>
      <c r="W44"/>
      <c r="X44"/>
      <c r="AA44" s="1" t="str">
        <f t="shared" si="4"/>
        <v>Romania</v>
      </c>
      <c r="AB44" s="1" t="str">
        <f t="shared" si="5"/>
        <v>Namibia</v>
      </c>
      <c r="AC44" s="1">
        <f t="shared" si="6"/>
      </c>
      <c r="AD44" s="1">
        <f t="shared" si="7"/>
      </c>
      <c r="AE44" s="1" t="str">
        <f t="shared" si="8"/>
        <v>Romania</v>
      </c>
      <c r="AG44"/>
      <c r="AH44"/>
      <c r="AI44"/>
      <c r="AJ44"/>
      <c r="AK44"/>
      <c r="AL44"/>
      <c r="AM44"/>
      <c r="AN44"/>
      <c r="AO44"/>
      <c r="AP4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FE44" s="69">
        <f t="shared" si="14"/>
        <v>37924.16666666667</v>
      </c>
      <c r="FF44" s="67"/>
      <c r="FG44" s="69">
        <f t="shared" si="28"/>
        <v>37924.833333333336</v>
      </c>
      <c r="FH44" s="69">
        <v>37924.833333333336</v>
      </c>
      <c r="FI44" s="69">
        <f t="shared" si="2"/>
        <v>37924.91666666667</v>
      </c>
      <c r="FJ44" s="69">
        <f t="shared" si="22"/>
        <v>37924.458333333336</v>
      </c>
      <c r="FK44" s="69">
        <f t="shared" si="23"/>
        <v>37924.41666666667</v>
      </c>
      <c r="FL44" s="69">
        <f t="shared" si="24"/>
        <v>37924.375</v>
      </c>
      <c r="FM44" s="69">
        <f t="shared" si="25"/>
        <v>37924.16666666667</v>
      </c>
      <c r="FN44" s="69">
        <f t="shared" si="26"/>
        <v>37924.04166666667</v>
      </c>
      <c r="FO44" s="69">
        <f t="shared" si="27"/>
        <v>37924.125</v>
      </c>
      <c r="FP44" s="67"/>
      <c r="FT44" t="str">
        <f>TEXT(RWC2003!D44,"")&amp;" vs "&amp;TEXT(RWC2003!K44,"")</f>
        <v>Namibia vs Romania</v>
      </c>
      <c r="FU44">
        <v>34</v>
      </c>
      <c r="FV44"/>
      <c r="FW44" t="s">
        <v>110</v>
      </c>
      <c r="FX44">
        <v>20</v>
      </c>
    </row>
    <row r="45" spans="2:180" ht="13.5" customHeight="1" thickBot="1">
      <c r="B45" s="1">
        <v>35</v>
      </c>
      <c r="C45" s="88">
        <f t="shared" si="3"/>
        <v>37925.145833333336</v>
      </c>
      <c r="D45" s="46" t="s">
        <v>9</v>
      </c>
      <c r="E45" s="46"/>
      <c r="F45" s="66">
        <v>5</v>
      </c>
      <c r="G45" s="74">
        <v>41</v>
      </c>
      <c r="H45" s="74">
        <v>14</v>
      </c>
      <c r="I45" s="47">
        <v>2</v>
      </c>
      <c r="J45" s="48"/>
      <c r="K45" s="49" t="s">
        <v>85</v>
      </c>
      <c r="L45" s="50" t="s">
        <v>12</v>
      </c>
      <c r="M45" s="51" t="s">
        <v>53</v>
      </c>
      <c r="N45" s="1" t="s">
        <v>83</v>
      </c>
      <c r="P45"/>
      <c r="Q45"/>
      <c r="R45"/>
      <c r="S45"/>
      <c r="T45"/>
      <c r="U45"/>
      <c r="V45"/>
      <c r="W45"/>
      <c r="X45"/>
      <c r="AA45" s="1" t="str">
        <f t="shared" si="4"/>
        <v>France</v>
      </c>
      <c r="AB45" s="1" t="str">
        <f t="shared" si="5"/>
        <v>USA</v>
      </c>
      <c r="AC45" s="1">
        <f t="shared" si="6"/>
      </c>
      <c r="AD45" s="1" t="str">
        <f t="shared" si="7"/>
        <v>France</v>
      </c>
      <c r="AE45" s="1">
        <f t="shared" si="8"/>
      </c>
      <c r="AG45"/>
      <c r="AH45"/>
      <c r="AI45"/>
      <c r="AJ45"/>
      <c r="AK45"/>
      <c r="AL45"/>
      <c r="AM45"/>
      <c r="AN45"/>
      <c r="AO45"/>
      <c r="AP45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FE45" s="69">
        <f t="shared" si="14"/>
        <v>37925.145833333336</v>
      </c>
      <c r="FF45" s="67"/>
      <c r="FG45" s="69">
        <f t="shared" si="28"/>
        <v>37925.8125</v>
      </c>
      <c r="FH45" s="69">
        <v>37925.8125</v>
      </c>
      <c r="FI45" s="69">
        <f t="shared" si="2"/>
        <v>37925.895833333336</v>
      </c>
      <c r="FJ45" s="69">
        <f t="shared" si="22"/>
        <v>37925.4375</v>
      </c>
      <c r="FK45" s="69">
        <f t="shared" si="23"/>
        <v>37925.395833333336</v>
      </c>
      <c r="FL45" s="69">
        <f t="shared" si="24"/>
        <v>37925.354166666664</v>
      </c>
      <c r="FM45" s="69">
        <f t="shared" si="25"/>
        <v>37925.145833333336</v>
      </c>
      <c r="FN45" s="69">
        <f t="shared" si="26"/>
        <v>37925.020833333336</v>
      </c>
      <c r="FO45" s="69">
        <f t="shared" si="27"/>
        <v>37925.104166666664</v>
      </c>
      <c r="FP45" s="67"/>
      <c r="FT45" t="str">
        <f>TEXT(RWC2003!D45,"")&amp;" vs "&amp;TEXT(RWC2003!K45,"")</f>
        <v>France vs USA</v>
      </c>
      <c r="FU45">
        <v>35</v>
      </c>
      <c r="FV45"/>
      <c r="FW45" t="s">
        <v>114</v>
      </c>
      <c r="FX45">
        <v>16</v>
      </c>
    </row>
    <row r="46" spans="2:180" ht="13.5" customHeight="1" thickBot="1">
      <c r="B46" s="1">
        <v>36</v>
      </c>
      <c r="C46" s="88">
        <f t="shared" si="3"/>
        <v>37926</v>
      </c>
      <c r="D46" s="46" t="s">
        <v>35</v>
      </c>
      <c r="E46" s="46"/>
      <c r="F46" s="66">
        <v>1</v>
      </c>
      <c r="G46" s="74">
        <v>22</v>
      </c>
      <c r="H46" s="74">
        <v>20</v>
      </c>
      <c r="I46" s="47">
        <v>2</v>
      </c>
      <c r="J46" s="48"/>
      <c r="K46" s="49" t="s">
        <v>70</v>
      </c>
      <c r="L46" s="50" t="s">
        <v>12</v>
      </c>
      <c r="M46" s="51" t="s">
        <v>33</v>
      </c>
      <c r="N46" s="1" t="s">
        <v>49</v>
      </c>
      <c r="P46"/>
      <c r="Q46"/>
      <c r="R46"/>
      <c r="S46"/>
      <c r="T46"/>
      <c r="U46"/>
      <c r="V46"/>
      <c r="W46"/>
      <c r="X46"/>
      <c r="Y46" s="32"/>
      <c r="AA46" s="1" t="str">
        <f t="shared" si="4"/>
        <v>Scotland</v>
      </c>
      <c r="AB46" s="1" t="str">
        <f t="shared" si="5"/>
        <v>Fiji</v>
      </c>
      <c r="AC46" s="1" t="str">
        <f t="shared" si="6"/>
        <v>Fiji</v>
      </c>
      <c r="AD46" s="1">
        <f t="shared" si="7"/>
      </c>
      <c r="AE46" s="1">
        <f t="shared" si="8"/>
      </c>
      <c r="AG46"/>
      <c r="AH46"/>
      <c r="AI46"/>
      <c r="AJ46"/>
      <c r="AK46"/>
      <c r="AL46"/>
      <c r="AM46"/>
      <c r="AN46"/>
      <c r="AO46"/>
      <c r="CK46" s="4"/>
      <c r="FE46" s="69">
        <f t="shared" si="14"/>
        <v>37926</v>
      </c>
      <c r="FF46" s="67"/>
      <c r="FG46" s="69">
        <f t="shared" si="28"/>
        <v>37926.666666666664</v>
      </c>
      <c r="FH46" s="69">
        <v>37926.666666666664</v>
      </c>
      <c r="FI46" s="69">
        <f t="shared" si="2"/>
        <v>37926.75</v>
      </c>
      <c r="FJ46" s="69">
        <f t="shared" si="22"/>
        <v>37926.291666666664</v>
      </c>
      <c r="FK46" s="69">
        <f t="shared" si="23"/>
        <v>37926.25</v>
      </c>
      <c r="FL46" s="69">
        <f t="shared" si="24"/>
        <v>37926.20833333333</v>
      </c>
      <c r="FM46" s="69">
        <f t="shared" si="25"/>
        <v>37926</v>
      </c>
      <c r="FN46" s="69">
        <f t="shared" si="26"/>
        <v>37925.875</v>
      </c>
      <c r="FO46" s="69">
        <f t="shared" si="27"/>
        <v>37925.95833333333</v>
      </c>
      <c r="FP46" s="67"/>
      <c r="FT46" t="str">
        <f>TEXT(RWC2003!D46,"")&amp;" vs "&amp;TEXT(RWC2003!K46,"")</f>
        <v>Scotland vs Fiji</v>
      </c>
      <c r="FU46">
        <v>36</v>
      </c>
      <c r="FV46"/>
      <c r="FW46" t="s">
        <v>105</v>
      </c>
      <c r="FX46">
        <v>25</v>
      </c>
    </row>
    <row r="47" spans="2:180" ht="13.5" customHeight="1" thickBot="1">
      <c r="B47" s="1">
        <v>37</v>
      </c>
      <c r="C47" s="88">
        <f t="shared" si="3"/>
        <v>37926.10416666667</v>
      </c>
      <c r="D47" s="46" t="s">
        <v>11</v>
      </c>
      <c r="E47" s="46"/>
      <c r="F47" s="66">
        <v>8</v>
      </c>
      <c r="G47" s="74">
        <v>60</v>
      </c>
      <c r="H47" s="74">
        <v>10</v>
      </c>
      <c r="I47" s="47">
        <v>1</v>
      </c>
      <c r="J47" s="48"/>
      <c r="K47" s="49" t="s">
        <v>72</v>
      </c>
      <c r="L47" s="50" t="s">
        <v>13</v>
      </c>
      <c r="M47" s="51" t="s">
        <v>40</v>
      </c>
      <c r="N47" s="1" t="s">
        <v>69</v>
      </c>
      <c r="P47"/>
      <c r="Q47"/>
      <c r="R47"/>
      <c r="S47"/>
      <c r="T47"/>
      <c r="U47"/>
      <c r="V47"/>
      <c r="W47"/>
      <c r="X47"/>
      <c r="Y47" s="32"/>
      <c r="AA47" s="1" t="str">
        <f t="shared" si="4"/>
        <v>South Africa</v>
      </c>
      <c r="AB47" s="1" t="str">
        <f t="shared" si="5"/>
        <v>Samoa</v>
      </c>
      <c r="AC47" s="1">
        <f t="shared" si="6"/>
      </c>
      <c r="AD47" s="1" t="str">
        <f t="shared" si="7"/>
        <v>South Africa</v>
      </c>
      <c r="AE47" s="1">
        <f t="shared" si="8"/>
      </c>
      <c r="AG47"/>
      <c r="AH47"/>
      <c r="AI47"/>
      <c r="AJ47"/>
      <c r="AK47"/>
      <c r="AL47"/>
      <c r="AM47"/>
      <c r="AN47"/>
      <c r="AO47"/>
      <c r="FE47" s="69">
        <f t="shared" si="14"/>
        <v>37926.10416666667</v>
      </c>
      <c r="FF47" s="67"/>
      <c r="FG47" s="69">
        <f>FH47-(1/24)</f>
        <v>37926.72916666667</v>
      </c>
      <c r="FH47" s="69">
        <v>37926.770833333336</v>
      </c>
      <c r="FI47" s="69">
        <f t="shared" si="2"/>
        <v>37926.85416666667</v>
      </c>
      <c r="FJ47" s="69">
        <f t="shared" si="22"/>
        <v>37926.395833333336</v>
      </c>
      <c r="FK47" s="69">
        <f t="shared" si="23"/>
        <v>37926.35416666667</v>
      </c>
      <c r="FL47" s="69">
        <f t="shared" si="24"/>
        <v>37926.3125</v>
      </c>
      <c r="FM47" s="69">
        <f t="shared" si="25"/>
        <v>37926.10416666667</v>
      </c>
      <c r="FN47" s="69">
        <f t="shared" si="26"/>
        <v>37925.97916666667</v>
      </c>
      <c r="FO47" s="69">
        <f t="shared" si="27"/>
        <v>37926.0625</v>
      </c>
      <c r="FP47" s="67"/>
      <c r="FT47" t="str">
        <f>TEXT(RWC2003!D47,"")&amp;" vs "&amp;TEXT(RWC2003!K47,"")</f>
        <v>South Africa vs Samoa</v>
      </c>
      <c r="FU47">
        <v>37</v>
      </c>
      <c r="FV47"/>
      <c r="FW47" t="s">
        <v>93</v>
      </c>
      <c r="FX47">
        <v>37</v>
      </c>
    </row>
    <row r="48" spans="2:180" ht="13.5" customHeight="1" thickBot="1">
      <c r="B48" s="1">
        <v>38</v>
      </c>
      <c r="C48" s="88">
        <f t="shared" si="3"/>
        <v>37926.190972222226</v>
      </c>
      <c r="D48" s="46" t="s">
        <v>24</v>
      </c>
      <c r="E48" s="46"/>
      <c r="F48" s="66">
        <v>1</v>
      </c>
      <c r="G48" s="74">
        <v>17</v>
      </c>
      <c r="H48" s="74">
        <v>16</v>
      </c>
      <c r="I48" s="47">
        <v>1</v>
      </c>
      <c r="J48" s="48"/>
      <c r="K48" s="49" t="s">
        <v>75</v>
      </c>
      <c r="L48" s="50" t="s">
        <v>10</v>
      </c>
      <c r="M48" s="51" t="s">
        <v>39</v>
      </c>
      <c r="N48" s="1" t="s">
        <v>81</v>
      </c>
      <c r="P48" s="20"/>
      <c r="Q48" s="15"/>
      <c r="R48" s="15"/>
      <c r="S48" s="15"/>
      <c r="T48" s="15"/>
      <c r="U48" s="15"/>
      <c r="V48" s="15"/>
      <c r="W48" s="15"/>
      <c r="X48" s="15"/>
      <c r="Y48" s="32"/>
      <c r="AA48" s="1" t="str">
        <f t="shared" si="4"/>
        <v>Australia</v>
      </c>
      <c r="AB48" s="1" t="str">
        <f t="shared" si="5"/>
        <v>Ireland</v>
      </c>
      <c r="AC48" s="1" t="str">
        <f t="shared" si="6"/>
        <v>Ireland</v>
      </c>
      <c r="AD48" s="1">
        <f t="shared" si="7"/>
      </c>
      <c r="AE48" s="1">
        <f t="shared" si="8"/>
      </c>
      <c r="FE48" s="69">
        <f t="shared" si="14"/>
        <v>37926.190972222226</v>
      </c>
      <c r="FF48" s="67"/>
      <c r="FG48" s="69">
        <f>FH48</f>
        <v>37926.85763888889</v>
      </c>
      <c r="FH48" s="69">
        <v>37926.85763888889</v>
      </c>
      <c r="FI48" s="69">
        <f t="shared" si="2"/>
        <v>37926.940972222226</v>
      </c>
      <c r="FJ48" s="69">
        <f t="shared" si="22"/>
        <v>37926.48263888889</v>
      </c>
      <c r="FK48" s="69">
        <f t="shared" si="23"/>
        <v>37926.440972222226</v>
      </c>
      <c r="FL48" s="69">
        <f t="shared" si="24"/>
        <v>37926.399305555555</v>
      </c>
      <c r="FM48" s="69">
        <f t="shared" si="25"/>
        <v>37926.190972222226</v>
      </c>
      <c r="FN48" s="69">
        <f t="shared" si="26"/>
        <v>37926.065972222226</v>
      </c>
      <c r="FO48" s="69">
        <f t="shared" si="27"/>
        <v>37926.149305555555</v>
      </c>
      <c r="FP48" s="67"/>
      <c r="FT48" t="str">
        <f>TEXT(RWC2003!D48,"")&amp;" vs "&amp;TEXT(RWC2003!K48,"")</f>
        <v>Australia vs Ireland</v>
      </c>
      <c r="FU48">
        <v>38</v>
      </c>
      <c r="FV48"/>
      <c r="FW48" t="s">
        <v>125</v>
      </c>
      <c r="FX48">
        <v>5</v>
      </c>
    </row>
    <row r="49" spans="2:180" ht="13.5" customHeight="1" thickBot="1">
      <c r="B49" s="1">
        <v>39</v>
      </c>
      <c r="C49" s="88">
        <f t="shared" si="3"/>
        <v>37927.10416666667</v>
      </c>
      <c r="D49" s="46" t="s">
        <v>36</v>
      </c>
      <c r="E49" s="46"/>
      <c r="F49" s="66">
        <v>17</v>
      </c>
      <c r="G49" s="74">
        <v>111</v>
      </c>
      <c r="H49" s="74">
        <v>13</v>
      </c>
      <c r="I49" s="47">
        <v>1</v>
      </c>
      <c r="J49" s="48"/>
      <c r="K49" s="49" t="s">
        <v>73</v>
      </c>
      <c r="L49" s="50" t="s">
        <v>13</v>
      </c>
      <c r="M49" s="51" t="s">
        <v>40</v>
      </c>
      <c r="N49" s="1" t="s">
        <v>41</v>
      </c>
      <c r="Y49" s="32"/>
      <c r="AA49" s="1" t="str">
        <f t="shared" si="4"/>
        <v>England</v>
      </c>
      <c r="AB49" s="1" t="str">
        <f t="shared" si="5"/>
        <v>Uruguay</v>
      </c>
      <c r="AC49" s="1">
        <f t="shared" si="6"/>
      </c>
      <c r="AD49" s="1" t="str">
        <f t="shared" si="7"/>
        <v>England</v>
      </c>
      <c r="AE49" s="1">
        <f t="shared" si="8"/>
      </c>
      <c r="FE49" s="69">
        <f t="shared" si="14"/>
        <v>37927.10416666667</v>
      </c>
      <c r="FF49" s="67"/>
      <c r="FG49" s="69">
        <f>FH49-(1/24)</f>
        <v>37927.72916666667</v>
      </c>
      <c r="FH49" s="69">
        <v>37927.770833333336</v>
      </c>
      <c r="FI49" s="69">
        <f t="shared" si="2"/>
        <v>37927.85416666667</v>
      </c>
      <c r="FJ49" s="69">
        <f t="shared" si="22"/>
        <v>37927.395833333336</v>
      </c>
      <c r="FK49" s="69">
        <f t="shared" si="23"/>
        <v>37927.35416666667</v>
      </c>
      <c r="FL49" s="69">
        <f t="shared" si="24"/>
        <v>37927.3125</v>
      </c>
      <c r="FM49" s="69">
        <f t="shared" si="25"/>
        <v>37927.10416666667</v>
      </c>
      <c r="FN49" s="69">
        <f t="shared" si="26"/>
        <v>37926.97916666667</v>
      </c>
      <c r="FO49" s="69">
        <f t="shared" si="27"/>
        <v>37927.0625</v>
      </c>
      <c r="FP49" s="67"/>
      <c r="FT49" t="str">
        <f>TEXT(RWC2003!D49,"")&amp;" vs "&amp;TEXT(RWC2003!K49,"")</f>
        <v>England vs Uruguay</v>
      </c>
      <c r="FU49">
        <v>39</v>
      </c>
      <c r="FV49"/>
      <c r="FW49" t="s">
        <v>124</v>
      </c>
      <c r="FX49">
        <v>6</v>
      </c>
    </row>
    <row r="50" spans="2:180" ht="13.5" customHeight="1" thickBot="1">
      <c r="B50" s="1">
        <v>40</v>
      </c>
      <c r="C50" s="88">
        <f t="shared" si="3"/>
        <v>37927.190972222226</v>
      </c>
      <c r="D50" s="46" t="s">
        <v>28</v>
      </c>
      <c r="E50" s="46"/>
      <c r="F50" s="66">
        <v>8</v>
      </c>
      <c r="G50" s="74">
        <v>53</v>
      </c>
      <c r="H50" s="74">
        <v>37</v>
      </c>
      <c r="I50" s="47">
        <v>4</v>
      </c>
      <c r="J50" s="48"/>
      <c r="K50" s="49" t="s">
        <v>37</v>
      </c>
      <c r="L50" s="50" t="s">
        <v>5</v>
      </c>
      <c r="M50" s="51" t="s">
        <v>33</v>
      </c>
      <c r="N50" s="1" t="s">
        <v>38</v>
      </c>
      <c r="Y50" s="32"/>
      <c r="AA50" s="1" t="str">
        <f t="shared" si="4"/>
        <v>New Zealand</v>
      </c>
      <c r="AB50" s="1" t="str">
        <f t="shared" si="5"/>
        <v>Wales</v>
      </c>
      <c r="AC50" s="1">
        <f t="shared" si="6"/>
      </c>
      <c r="AD50" s="1" t="str">
        <f t="shared" si="7"/>
        <v>New Zealand</v>
      </c>
      <c r="AE50" s="1" t="str">
        <f t="shared" si="8"/>
        <v>Wales</v>
      </c>
      <c r="FE50" s="69">
        <f t="shared" si="14"/>
        <v>37927.190972222226</v>
      </c>
      <c r="FF50" s="67"/>
      <c r="FG50" s="69">
        <f>FH50</f>
        <v>37927.85763888889</v>
      </c>
      <c r="FH50" s="69">
        <v>37927.85763888889</v>
      </c>
      <c r="FI50" s="69">
        <f>$FH50+(2/24)</f>
        <v>37927.940972222226</v>
      </c>
      <c r="FJ50" s="69">
        <f t="shared" si="22"/>
        <v>37927.48263888889</v>
      </c>
      <c r="FK50" s="69">
        <f t="shared" si="23"/>
        <v>37927.440972222226</v>
      </c>
      <c r="FL50" s="69">
        <f t="shared" si="24"/>
        <v>37927.399305555555</v>
      </c>
      <c r="FM50" s="69">
        <f t="shared" si="25"/>
        <v>37927.190972222226</v>
      </c>
      <c r="FN50" s="69">
        <f t="shared" si="26"/>
        <v>37927.065972222226</v>
      </c>
      <c r="FO50" s="69">
        <f t="shared" si="27"/>
        <v>37927.149305555555</v>
      </c>
      <c r="FP50" s="67"/>
      <c r="FT50" t="str">
        <f>TEXT(RWC2003!D50,"")&amp;" vs "&amp;TEXT(RWC2003!K50,"")</f>
        <v>New Zealand vs Wales</v>
      </c>
      <c r="FU50">
        <v>40</v>
      </c>
      <c r="FV50"/>
      <c r="FW50" t="s">
        <v>113</v>
      </c>
      <c r="FX50">
        <v>17</v>
      </c>
    </row>
    <row r="51" spans="3:172" ht="13.5" customHeight="1">
      <c r="C51" s="89"/>
      <c r="D51" s="49"/>
      <c r="E51" s="49"/>
      <c r="F51" s="49"/>
      <c r="G51" s="49"/>
      <c r="H51" s="49"/>
      <c r="I51" s="49"/>
      <c r="J51" s="49"/>
      <c r="K51" s="49"/>
      <c r="L51" s="49"/>
      <c r="M51" s="49"/>
      <c r="Y51" s="32"/>
      <c r="AG51" s="26" t="s">
        <v>21</v>
      </c>
      <c r="AH51" s="27">
        <v>4</v>
      </c>
      <c r="FE51" s="67"/>
      <c r="FF51" s="67"/>
      <c r="FG51" s="69"/>
      <c r="FH51" s="69"/>
      <c r="FI51" s="69"/>
      <c r="FJ51" s="69"/>
      <c r="FK51" s="69"/>
      <c r="FL51" s="69"/>
      <c r="FM51" s="69"/>
      <c r="FN51" s="69"/>
      <c r="FO51" s="69"/>
      <c r="FP51" s="67"/>
    </row>
    <row r="52" spans="3:172" ht="13.5" customHeight="1">
      <c r="C52" s="90" t="s">
        <v>27</v>
      </c>
      <c r="D52" s="52"/>
      <c r="E52" s="52"/>
      <c r="F52" s="52"/>
      <c r="G52" s="52"/>
      <c r="H52" s="52"/>
      <c r="I52" s="52"/>
      <c r="J52" s="52"/>
      <c r="K52" s="52"/>
      <c r="L52" s="52"/>
      <c r="M52" s="53"/>
      <c r="N52" s="11"/>
      <c r="Y52" s="32"/>
      <c r="AG52" s="14" t="s">
        <v>22</v>
      </c>
      <c r="AH52" s="28">
        <v>2</v>
      </c>
      <c r="FE52" s="67"/>
      <c r="FF52" s="67"/>
      <c r="FG52" s="69"/>
      <c r="FH52" s="69"/>
      <c r="FI52" s="69"/>
      <c r="FJ52" s="69"/>
      <c r="FK52" s="69"/>
      <c r="FL52" s="69"/>
      <c r="FM52" s="69"/>
      <c r="FN52" s="69"/>
      <c r="FO52" s="69"/>
      <c r="FP52" s="67"/>
    </row>
    <row r="53" spans="3:172" ht="16.5" customHeight="1" thickBot="1">
      <c r="C53" s="91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23"/>
      <c r="Y53" s="32"/>
      <c r="AG53" s="16" t="s">
        <v>23</v>
      </c>
      <c r="AH53" s="29">
        <v>0</v>
      </c>
      <c r="FE53" s="67"/>
      <c r="FF53" s="67"/>
      <c r="FG53" s="69"/>
      <c r="FH53" s="69"/>
      <c r="FI53" s="69"/>
      <c r="FJ53" s="69"/>
      <c r="FK53" s="69"/>
      <c r="FL53" s="69"/>
      <c r="FM53" s="69"/>
      <c r="FN53" s="69"/>
      <c r="FO53" s="69"/>
      <c r="FP53" s="67"/>
    </row>
    <row r="54" spans="3:172" ht="15.75" customHeight="1" thickBot="1">
      <c r="C54" s="88">
        <f>FE55</f>
        <v>37933.10416666667</v>
      </c>
      <c r="D54" s="83" t="str">
        <f>IF(SUM(grp_d_pld)=20,P36,"Winner D")</f>
        <v>New Zealand</v>
      </c>
      <c r="E54" s="46"/>
      <c r="F54" s="46"/>
      <c r="G54" s="73">
        <v>29</v>
      </c>
      <c r="H54" s="73">
        <v>9</v>
      </c>
      <c r="I54" s="93"/>
      <c r="J54" s="93"/>
      <c r="K54" s="84" t="str">
        <f>IF(SUM(grp_c_pld)=20,P28,"Runner-Up C")</f>
        <v>South Africa</v>
      </c>
      <c r="L54" s="49"/>
      <c r="M54" s="49" t="s">
        <v>39</v>
      </c>
      <c r="N54" s="23" t="s">
        <v>81</v>
      </c>
      <c r="Y54" s="32"/>
      <c r="AA54" s="1" t="str">
        <f>IF(OR(G54="",H54=""),"Quarter-Final 1",IF(G54&gt;H54,D54,IF(G54&lt;H54,K54,"Draw")))</f>
        <v>New Zealand</v>
      </c>
      <c r="FE54" s="67"/>
      <c r="FF54" s="67"/>
      <c r="FG54" s="69"/>
      <c r="FH54" s="69"/>
      <c r="FI54" s="69"/>
      <c r="FJ54" s="69"/>
      <c r="FK54" s="69"/>
      <c r="FL54" s="69"/>
      <c r="FM54" s="69"/>
      <c r="FN54" s="69"/>
      <c r="FO54" s="69"/>
      <c r="FP54" s="67"/>
    </row>
    <row r="55" spans="3:172" ht="13.5" customHeight="1" thickBot="1">
      <c r="C55" s="88">
        <f>FE56</f>
        <v>37933.208333333336</v>
      </c>
      <c r="D55" s="83" t="str">
        <f>IF(SUM(grp_a_pld)=20,P9,"Winner A")</f>
        <v>Australia</v>
      </c>
      <c r="E55" s="46"/>
      <c r="F55" s="46"/>
      <c r="G55" s="73">
        <v>33</v>
      </c>
      <c r="H55" s="73">
        <v>16</v>
      </c>
      <c r="I55" s="93"/>
      <c r="J55" s="93"/>
      <c r="K55" s="84" t="str">
        <f>IF(SUM(grp_b_pld)=20,P19,"Runner-Up B")</f>
        <v>Scotland</v>
      </c>
      <c r="L55" s="49"/>
      <c r="M55" s="49" t="s">
        <v>40</v>
      </c>
      <c r="N55" s="23" t="s">
        <v>69</v>
      </c>
      <c r="Y55" s="32"/>
      <c r="AA55" s="1" t="str">
        <f>IF(OR(G55="",H55=""),"Quarter-Final 2",IF(G55&gt;H55,D55,IF(G55&lt;H55,K55,"Draw")))</f>
        <v>Australia</v>
      </c>
      <c r="FE55" s="69">
        <f>CHOOSE($FG$8,FG55,FH55,FI55,FJ55,FK55,FL55,FM55,FN55,FO55)</f>
        <v>37933.10416666667</v>
      </c>
      <c r="FF55" s="67"/>
      <c r="FG55" s="69">
        <f>FH55</f>
        <v>37933.770833333336</v>
      </c>
      <c r="FH55" s="69">
        <v>37933.770833333336</v>
      </c>
      <c r="FI55" s="69">
        <f>$FH55+(2/24)</f>
        <v>37933.85416666667</v>
      </c>
      <c r="FJ55" s="69">
        <f>$FH55-(9/24)</f>
        <v>37933.395833333336</v>
      </c>
      <c r="FK55" s="69">
        <f>$FH55-(10/24)</f>
        <v>37933.35416666667</v>
      </c>
      <c r="FL55" s="69">
        <f>$FH55-(11/24)</f>
        <v>37933.3125</v>
      </c>
      <c r="FM55" s="69">
        <f>$FH55-(16/24)</f>
        <v>37933.10416666667</v>
      </c>
      <c r="FN55" s="69">
        <f>$FH55-(19/24)</f>
        <v>37932.97916666667</v>
      </c>
      <c r="FO55" s="69">
        <f>$FH55-(17/24)</f>
        <v>37933.0625</v>
      </c>
      <c r="FP55" s="67"/>
    </row>
    <row r="56" spans="3:172" ht="13.5" customHeight="1" thickBot="1">
      <c r="C56" s="88">
        <f>FE57</f>
        <v>37934.10416666667</v>
      </c>
      <c r="D56" s="83" t="str">
        <f>IF(SUM(grp_b_pld)=20,P18,"Winner B")</f>
        <v>France</v>
      </c>
      <c r="E56" s="46"/>
      <c r="F56" s="46"/>
      <c r="G56" s="73">
        <v>43</v>
      </c>
      <c r="H56" s="73">
        <v>21</v>
      </c>
      <c r="I56" s="93"/>
      <c r="J56" s="93"/>
      <c r="K56" s="84" t="str">
        <f>IF(SUM(grp_a_pld)=20,P10,"Runner-Up A")</f>
        <v>Ireland</v>
      </c>
      <c r="L56" s="49"/>
      <c r="M56" s="49" t="s">
        <v>39</v>
      </c>
      <c r="N56" s="23" t="s">
        <v>81</v>
      </c>
      <c r="Y56" s="32"/>
      <c r="AA56" s="1" t="str">
        <f>IF(OR(G56="",H56=""),"Quarter-Final 3",IF(G56&gt;H56,D56,IF(G56&lt;H56,K56,"Draw")))</f>
        <v>France</v>
      </c>
      <c r="FE56" s="69">
        <f>CHOOSE($FG$8,FG56,FH56,FI56,FJ56,FK56,FL56,FM56,FN56,FO56)</f>
        <v>37933.208333333336</v>
      </c>
      <c r="FF56" s="67"/>
      <c r="FG56" s="69">
        <f>FH56-(1/24)</f>
        <v>37933.833333333336</v>
      </c>
      <c r="FH56" s="69">
        <v>37933.875</v>
      </c>
      <c r="FI56" s="69">
        <f>$FH56+(2/24)</f>
        <v>37933.958333333336</v>
      </c>
      <c r="FJ56" s="69">
        <f>$FH56-(9/24)</f>
        <v>37933.5</v>
      </c>
      <c r="FK56" s="69">
        <f>$FH56-(10/24)</f>
        <v>37933.458333333336</v>
      </c>
      <c r="FL56" s="69">
        <f>$FH56-(11/24)</f>
        <v>37933.416666666664</v>
      </c>
      <c r="FM56" s="69">
        <f>$FH56-(16/24)</f>
        <v>37933.208333333336</v>
      </c>
      <c r="FN56" s="69">
        <f>$FH56-(19/24)</f>
        <v>37933.083333333336</v>
      </c>
      <c r="FO56" s="69">
        <f>$FH56-(17/24)</f>
        <v>37933.166666666664</v>
      </c>
      <c r="FP56" s="67"/>
    </row>
    <row r="57" spans="3:172" ht="13.5" customHeight="1" thickBot="1">
      <c r="C57" s="88">
        <f>FE58</f>
        <v>37934.208333333336</v>
      </c>
      <c r="D57" s="83" t="str">
        <f>IF(SUM(grp_c_pld)=20,P27,"Winner C")</f>
        <v>England</v>
      </c>
      <c r="E57" s="46"/>
      <c r="F57" s="46"/>
      <c r="G57" s="73">
        <v>28</v>
      </c>
      <c r="H57" s="73">
        <v>17</v>
      </c>
      <c r="I57" s="93"/>
      <c r="J57" s="93"/>
      <c r="K57" s="84" t="str">
        <f>IF(SUM(grp_d_pld)=20,P37,"Runner-Up D")</f>
        <v>Wales</v>
      </c>
      <c r="L57" s="49"/>
      <c r="M57" s="49" t="s">
        <v>40</v>
      </c>
      <c r="N57" s="23" t="s">
        <v>69</v>
      </c>
      <c r="Y57" s="32"/>
      <c r="AA57" s="1" t="str">
        <f>IF(OR(G57="",H57=""),"Quarter-Final 4",IF(G57&gt;H57,D57,IF(G57&lt;H57,K57,"Draw")))</f>
        <v>England</v>
      </c>
      <c r="FE57" s="69">
        <f>CHOOSE($FG$8,FG57,FH57,FI57,FJ57,FK57,FL57,FM57,FN57,FO57)</f>
        <v>37934.10416666667</v>
      </c>
      <c r="FF57" s="67"/>
      <c r="FG57" s="69">
        <f>FH57</f>
        <v>37934.770833333336</v>
      </c>
      <c r="FH57" s="69">
        <v>37934.770833333336</v>
      </c>
      <c r="FI57" s="69">
        <f>$FH57+(2/24)</f>
        <v>37934.85416666667</v>
      </c>
      <c r="FJ57" s="69">
        <f>$FH57-(9/24)</f>
        <v>37934.395833333336</v>
      </c>
      <c r="FK57" s="69">
        <f>$FH57-(10/24)</f>
        <v>37934.35416666667</v>
      </c>
      <c r="FL57" s="69">
        <f>$FH57-(11/24)</f>
        <v>37934.3125</v>
      </c>
      <c r="FM57" s="69">
        <f>$FH57-(16/24)</f>
        <v>37934.10416666667</v>
      </c>
      <c r="FN57" s="69">
        <f>$FH57-(19/24)</f>
        <v>37933.97916666667</v>
      </c>
      <c r="FO57" s="69">
        <f>$FH57-(17/24)</f>
        <v>37934.0625</v>
      </c>
      <c r="FP57" s="67"/>
    </row>
    <row r="58" spans="3:172" ht="13.5" customHeight="1">
      <c r="C58" s="91"/>
      <c r="D58" s="49"/>
      <c r="E58" s="49"/>
      <c r="F58" s="49"/>
      <c r="G58" s="49"/>
      <c r="H58" s="49"/>
      <c r="I58" s="91"/>
      <c r="J58" s="91"/>
      <c r="K58" s="49"/>
      <c r="L58" s="49"/>
      <c r="M58" s="49"/>
      <c r="N58" s="23"/>
      <c r="Y58" s="32"/>
      <c r="FE58" s="69">
        <f>CHOOSE($FG$8,FG58,FH58,FI58,FJ58,FK58,FL58,FM58,FN58,FO58)</f>
        <v>37934.208333333336</v>
      </c>
      <c r="FF58" s="67"/>
      <c r="FG58" s="69">
        <f>FH58-(1/24)</f>
        <v>37934.833333333336</v>
      </c>
      <c r="FH58" s="69">
        <v>37934.875</v>
      </c>
      <c r="FI58" s="69">
        <f>$FH58+(2/24)</f>
        <v>37934.958333333336</v>
      </c>
      <c r="FJ58" s="69">
        <f>$FH58-(9/24)</f>
        <v>37934.5</v>
      </c>
      <c r="FK58" s="69">
        <f>$FH58-(10/24)</f>
        <v>37934.458333333336</v>
      </c>
      <c r="FL58" s="69">
        <f>$FH58-(11/24)</f>
        <v>37934.416666666664</v>
      </c>
      <c r="FM58" s="69">
        <f>$FH58-(16/24)</f>
        <v>37934.208333333336</v>
      </c>
      <c r="FN58" s="69">
        <f>$FH58-(19/24)</f>
        <v>37934.083333333336</v>
      </c>
      <c r="FO58" s="69">
        <f>$FH58-(17/24)</f>
        <v>37934.166666666664</v>
      </c>
      <c r="FP58" s="67"/>
    </row>
    <row r="59" spans="3:172" ht="13.5" customHeight="1">
      <c r="C59" s="90" t="s">
        <v>26</v>
      </c>
      <c r="D59" s="52"/>
      <c r="E59" s="52"/>
      <c r="F59" s="52"/>
      <c r="G59" s="52"/>
      <c r="H59" s="52"/>
      <c r="I59" s="94"/>
      <c r="J59" s="94"/>
      <c r="K59" s="52"/>
      <c r="L59" s="52"/>
      <c r="M59" s="53"/>
      <c r="N59" s="11"/>
      <c r="Y59" s="32"/>
      <c r="FE59" s="67"/>
      <c r="FF59" s="67"/>
      <c r="FG59" s="71"/>
      <c r="FH59" s="69"/>
      <c r="FI59" s="69"/>
      <c r="FJ59" s="69"/>
      <c r="FK59" s="69"/>
      <c r="FL59" s="69"/>
      <c r="FM59" s="69"/>
      <c r="FN59" s="69"/>
      <c r="FO59" s="69"/>
      <c r="FP59" s="67"/>
    </row>
    <row r="60" spans="3:172" ht="16.5" customHeight="1" thickBot="1">
      <c r="C60" s="91"/>
      <c r="D60" s="49"/>
      <c r="E60" s="49"/>
      <c r="F60" s="49"/>
      <c r="G60" s="49"/>
      <c r="H60" s="49"/>
      <c r="I60" s="91"/>
      <c r="J60" s="91"/>
      <c r="K60" s="49"/>
      <c r="L60" s="49"/>
      <c r="M60" s="49"/>
      <c r="N60" s="23"/>
      <c r="Y60" s="32"/>
      <c r="FE60" s="67"/>
      <c r="FF60" s="67"/>
      <c r="FG60" s="71"/>
      <c r="FH60" s="69"/>
      <c r="FI60" s="69"/>
      <c r="FJ60" s="69"/>
      <c r="FK60" s="69"/>
      <c r="FL60" s="69"/>
      <c r="FM60" s="69"/>
      <c r="FN60" s="69"/>
      <c r="FO60" s="69"/>
      <c r="FP60" s="67"/>
    </row>
    <row r="61" spans="3:172" ht="15.75" customHeight="1" thickBot="1">
      <c r="C61" s="88">
        <f>FE62</f>
        <v>37940.16666666667</v>
      </c>
      <c r="D61" s="83" t="str">
        <f>AA54</f>
        <v>New Zealand</v>
      </c>
      <c r="E61" s="46"/>
      <c r="F61" s="46"/>
      <c r="G61" s="73">
        <v>10</v>
      </c>
      <c r="H61" s="73">
        <v>22</v>
      </c>
      <c r="I61" s="93"/>
      <c r="J61" s="93"/>
      <c r="K61" s="84" t="str">
        <f>AA55</f>
        <v>Australia</v>
      </c>
      <c r="L61" s="49"/>
      <c r="M61" s="49" t="s">
        <v>33</v>
      </c>
      <c r="N61" s="23" t="s">
        <v>38</v>
      </c>
      <c r="P61" s="75">
        <f>IF(OR(D61="Draw",K61="Draw"),"Add 0.1 to winner's score of drawn QF in QF section","")</f>
      </c>
      <c r="Y61" s="32"/>
      <c r="AA61" s="1" t="str">
        <f>IF(OR(G61="",H61=""),"Semi-Final 1",IF(G61&gt;H61,D61,IF(G61&lt;H61,K61,"Draw")))</f>
        <v>Australia</v>
      </c>
      <c r="AB61" s="1" t="str">
        <f>IF(OR(G61="",H61=""),"RU 1",IF(G61&lt;H61,D61,IF(G61&gt;H61,K61,"Draw")))</f>
        <v>New Zealand</v>
      </c>
      <c r="FE61" s="67"/>
      <c r="FF61" s="67"/>
      <c r="FG61" s="71"/>
      <c r="FH61" s="69"/>
      <c r="FI61" s="69"/>
      <c r="FJ61" s="69"/>
      <c r="FK61" s="69"/>
      <c r="FL61" s="69"/>
      <c r="FM61" s="69"/>
      <c r="FN61" s="69"/>
      <c r="FO61" s="69"/>
      <c r="FP61" s="67"/>
    </row>
    <row r="62" spans="3:172" ht="15.75" customHeight="1" thickBot="1">
      <c r="C62" s="88">
        <f>FE63</f>
        <v>37941.16666666667</v>
      </c>
      <c r="D62" s="83" t="str">
        <f>AA56</f>
        <v>France</v>
      </c>
      <c r="E62" s="46"/>
      <c r="F62" s="46"/>
      <c r="G62" s="73">
        <v>7</v>
      </c>
      <c r="H62" s="73">
        <v>24</v>
      </c>
      <c r="I62" s="93"/>
      <c r="J62" s="93"/>
      <c r="K62" s="84" t="str">
        <f>AA57</f>
        <v>England</v>
      </c>
      <c r="L62" s="49"/>
      <c r="M62" s="49" t="s">
        <v>33</v>
      </c>
      <c r="N62" s="23" t="s">
        <v>38</v>
      </c>
      <c r="P62" s="75">
        <f>IF(OR(D62="Draw",K62="Draw"),"Add 0.1 to winner's score of drawn QF in QF section","")</f>
      </c>
      <c r="Y62" s="32"/>
      <c r="AA62" s="1" t="str">
        <f>IF(OR(G62="",H62=""),"Semi-Final 2",IF(G62&gt;H62,D62,IF(G62&lt;H62,K62,"Draw")))</f>
        <v>England</v>
      </c>
      <c r="AB62" s="1" t="str">
        <f>IF(OR(G62="",H62=""),"RU 2",IF(G62&lt;H62,D62,IF(G62&gt;H62,K62,"Draw")))</f>
        <v>France</v>
      </c>
      <c r="FE62" s="69">
        <f>CHOOSE($FG$8,FG62,FH62,FI62,FJ62,FK62,FL62,FM62,FN62,FO62)</f>
        <v>37940.16666666667</v>
      </c>
      <c r="FF62" s="67"/>
      <c r="FG62" s="69">
        <f>FH62</f>
        <v>37940.833333333336</v>
      </c>
      <c r="FH62" s="69">
        <v>37940.833333333336</v>
      </c>
      <c r="FI62" s="69">
        <f>$FH62+(2/24)</f>
        <v>37940.91666666667</v>
      </c>
      <c r="FJ62" s="69">
        <f>$FH62-(9/24)</f>
        <v>37940.458333333336</v>
      </c>
      <c r="FK62" s="69">
        <f>$FH62-(10/24)</f>
        <v>37940.41666666667</v>
      </c>
      <c r="FL62" s="69">
        <f>$FH62-(11/24)</f>
        <v>37940.375</v>
      </c>
      <c r="FM62" s="69">
        <f>$FH62-(16/24)</f>
        <v>37940.16666666667</v>
      </c>
      <c r="FN62" s="69">
        <f>$FH62-(19/24)</f>
        <v>37940.04166666667</v>
      </c>
      <c r="FO62" s="69">
        <f>$FH62-(17/24)</f>
        <v>37940.125</v>
      </c>
      <c r="FP62" s="67"/>
    </row>
    <row r="63" spans="3:172" ht="13.5" customHeight="1">
      <c r="C63" s="91"/>
      <c r="D63" s="49"/>
      <c r="E63" s="49"/>
      <c r="F63" s="49"/>
      <c r="G63" s="49"/>
      <c r="H63" s="49"/>
      <c r="I63" s="91"/>
      <c r="J63" s="91"/>
      <c r="K63" s="49"/>
      <c r="L63" s="49"/>
      <c r="M63" s="49"/>
      <c r="N63" s="23"/>
      <c r="W63" s="3" t="s">
        <v>147</v>
      </c>
      <c r="Y63" s="32"/>
      <c r="FE63" s="69">
        <f>CHOOSE($FG$8,FG63,FH63,FI63,FJ63,FK63,FL63,FM63,FN63,FO63)</f>
        <v>37941.16666666667</v>
      </c>
      <c r="FF63" s="67"/>
      <c r="FG63" s="69">
        <f>FH63</f>
        <v>37941.833333333336</v>
      </c>
      <c r="FH63" s="69">
        <v>37941.833333333336</v>
      </c>
      <c r="FI63" s="69">
        <f>$FH63+(2/24)</f>
        <v>37941.91666666667</v>
      </c>
      <c r="FJ63" s="69">
        <f>$FH63-(9/24)</f>
        <v>37941.458333333336</v>
      </c>
      <c r="FK63" s="69">
        <f>$FH63-(10/24)</f>
        <v>37941.41666666667</v>
      </c>
      <c r="FL63" s="69">
        <f>$FH63-(11/24)</f>
        <v>37941.375</v>
      </c>
      <c r="FM63" s="69">
        <f>$FH63-(16/24)</f>
        <v>37941.16666666667</v>
      </c>
      <c r="FN63" s="69">
        <f>$FH63-(19/24)</f>
        <v>37941.04166666667</v>
      </c>
      <c r="FO63" s="69">
        <f>$FH63-(17/24)</f>
        <v>37941.125</v>
      </c>
      <c r="FP63" s="67"/>
    </row>
    <row r="64" spans="3:172" ht="13.5" customHeight="1">
      <c r="C64" s="90" t="s">
        <v>62</v>
      </c>
      <c r="D64" s="52"/>
      <c r="E64" s="52"/>
      <c r="F64" s="52"/>
      <c r="G64" s="52"/>
      <c r="H64" s="52"/>
      <c r="I64" s="94"/>
      <c r="J64" s="94"/>
      <c r="K64" s="52"/>
      <c r="L64" s="52"/>
      <c r="M64" s="53"/>
      <c r="N64" s="11"/>
      <c r="Y64" s="32"/>
      <c r="FE64" s="67"/>
      <c r="FF64" s="67"/>
      <c r="FG64" s="69"/>
      <c r="FH64" s="69"/>
      <c r="FI64" s="69"/>
      <c r="FJ64" s="69"/>
      <c r="FK64" s="69"/>
      <c r="FL64" s="69"/>
      <c r="FM64" s="69"/>
      <c r="FN64" s="69"/>
      <c r="FO64" s="69"/>
      <c r="FP64" s="67"/>
    </row>
    <row r="65" spans="3:172" ht="16.5" customHeight="1" thickBot="1">
      <c r="C65" s="91"/>
      <c r="D65" s="49"/>
      <c r="E65" s="49"/>
      <c r="F65" s="49"/>
      <c r="G65" s="49"/>
      <c r="H65" s="49"/>
      <c r="I65" s="91"/>
      <c r="J65" s="91"/>
      <c r="K65" s="49"/>
      <c r="L65" s="49"/>
      <c r="M65" s="49"/>
      <c r="N65" s="23"/>
      <c r="Y65" s="32"/>
      <c r="FE65" s="67"/>
      <c r="FF65" s="67"/>
      <c r="FG65" s="69"/>
      <c r="FH65" s="69"/>
      <c r="FI65" s="69"/>
      <c r="FJ65" s="69"/>
      <c r="FK65" s="69"/>
      <c r="FL65" s="69"/>
      <c r="FM65" s="69"/>
      <c r="FN65" s="69"/>
      <c r="FO65" s="69"/>
      <c r="FP65" s="67"/>
    </row>
    <row r="66" spans="3:172" ht="13.5" customHeight="1" thickBot="1">
      <c r="C66" s="88">
        <f>FE67</f>
        <v>37945.16666666667</v>
      </c>
      <c r="D66" s="83" t="str">
        <f>AB61</f>
        <v>New Zealand</v>
      </c>
      <c r="E66" s="46"/>
      <c r="F66" s="46"/>
      <c r="G66" s="73">
        <v>40</v>
      </c>
      <c r="H66" s="73">
        <v>13</v>
      </c>
      <c r="I66" s="93"/>
      <c r="J66" s="93"/>
      <c r="K66" s="84" t="str">
        <f>AB62</f>
        <v>France</v>
      </c>
      <c r="L66" s="49"/>
      <c r="M66" s="49" t="s">
        <v>33</v>
      </c>
      <c r="N66" s="23" t="s">
        <v>38</v>
      </c>
      <c r="P66" s="75">
        <f>IF(OR(D66="Draw",K66="Draw"),"Add 0.1 to winner's score of drawn SF in SF section","")</f>
      </c>
      <c r="Y66" s="32"/>
      <c r="FE66" s="67"/>
      <c r="FF66" s="67"/>
      <c r="FG66" s="71"/>
      <c r="FH66" s="69"/>
      <c r="FI66" s="69"/>
      <c r="FJ66" s="69"/>
      <c r="FK66" s="69"/>
      <c r="FL66" s="69"/>
      <c r="FM66" s="69"/>
      <c r="FN66" s="69"/>
      <c r="FO66" s="69"/>
      <c r="FP66" s="67"/>
    </row>
    <row r="67" spans="3:172" ht="15.75" customHeight="1">
      <c r="C67" s="91"/>
      <c r="D67" s="49"/>
      <c r="E67" s="49"/>
      <c r="F67" s="49"/>
      <c r="G67" s="49"/>
      <c r="H67" s="49"/>
      <c r="I67" s="91"/>
      <c r="J67" s="91"/>
      <c r="K67" s="49"/>
      <c r="L67" s="49"/>
      <c r="M67" s="49"/>
      <c r="N67" s="23"/>
      <c r="Y67" s="32"/>
      <c r="FE67" s="69">
        <f>CHOOSE($FG$8,FG67,FH67,FI67,FJ67,FK67,FL67,FM67,FN67,FO67)</f>
        <v>37945.16666666667</v>
      </c>
      <c r="FF67" s="67"/>
      <c r="FG67" s="69">
        <f>FH67</f>
        <v>37945.833333333336</v>
      </c>
      <c r="FH67" s="69">
        <v>37945.833333333336</v>
      </c>
      <c r="FI67" s="69">
        <f>$FH67+(2/24)</f>
        <v>37945.91666666667</v>
      </c>
      <c r="FJ67" s="69">
        <f>$FH67-(9/24)</f>
        <v>37945.458333333336</v>
      </c>
      <c r="FK67" s="69">
        <f>$FH67-(10/24)</f>
        <v>37945.41666666667</v>
      </c>
      <c r="FL67" s="69">
        <f>$FH67-(11/24)</f>
        <v>37945.375</v>
      </c>
      <c r="FM67" s="69">
        <f>$FH67-(16/24)</f>
        <v>37945.16666666667</v>
      </c>
      <c r="FN67" s="69">
        <f>$FH67-(19/24)</f>
        <v>37945.04166666667</v>
      </c>
      <c r="FO67" s="69">
        <f>$FH67-(17/24)</f>
        <v>37945.125</v>
      </c>
      <c r="FP67" s="67"/>
    </row>
    <row r="68" spans="3:172" ht="15.75" customHeight="1">
      <c r="C68" s="90" t="s">
        <v>25</v>
      </c>
      <c r="D68" s="52"/>
      <c r="E68" s="52"/>
      <c r="F68" s="52"/>
      <c r="G68" s="52"/>
      <c r="H68" s="52"/>
      <c r="I68" s="94"/>
      <c r="J68" s="94"/>
      <c r="K68" s="52"/>
      <c r="L68" s="52"/>
      <c r="M68" s="53"/>
      <c r="N68" s="11"/>
      <c r="Y68" s="32"/>
      <c r="FE68" s="67"/>
      <c r="FF68" s="67"/>
      <c r="FG68" s="69"/>
      <c r="FH68" s="69"/>
      <c r="FI68" s="69"/>
      <c r="FJ68" s="69"/>
      <c r="FK68" s="69"/>
      <c r="FL68" s="69"/>
      <c r="FM68" s="69"/>
      <c r="FN68" s="69"/>
      <c r="FO68" s="69"/>
      <c r="FP68" s="67"/>
    </row>
    <row r="69" spans="3:172" ht="16.5" customHeight="1" thickBot="1">
      <c r="C69" s="91"/>
      <c r="D69" s="49"/>
      <c r="E69" s="49"/>
      <c r="F69" s="49"/>
      <c r="G69" s="49"/>
      <c r="H69" s="49"/>
      <c r="I69" s="91"/>
      <c r="J69" s="91"/>
      <c r="K69" s="49"/>
      <c r="L69" s="49"/>
      <c r="M69" s="49"/>
      <c r="N69" s="23"/>
      <c r="Y69" s="32"/>
      <c r="FE69" s="67"/>
      <c r="FF69" s="67"/>
      <c r="FG69" s="69"/>
      <c r="FH69" s="69"/>
      <c r="FI69" s="69"/>
      <c r="FJ69" s="69"/>
      <c r="FK69" s="69"/>
      <c r="FL69" s="69"/>
      <c r="FM69" s="69"/>
      <c r="FN69" s="69"/>
      <c r="FO69" s="69"/>
      <c r="FP69" s="67"/>
    </row>
    <row r="70" spans="3:172" ht="13.5" customHeight="1" thickBot="1">
      <c r="C70" s="88">
        <f>FE71</f>
        <v>37947.16666666667</v>
      </c>
      <c r="D70" s="83" t="str">
        <f>AA61</f>
        <v>Australia</v>
      </c>
      <c r="E70" s="46"/>
      <c r="F70" s="46"/>
      <c r="G70" s="73">
        <v>17</v>
      </c>
      <c r="H70" s="73">
        <v>20</v>
      </c>
      <c r="I70" s="93"/>
      <c r="J70" s="93"/>
      <c r="K70" s="84" t="str">
        <f>AA62</f>
        <v>England</v>
      </c>
      <c r="L70" s="49"/>
      <c r="M70" s="49" t="s">
        <v>33</v>
      </c>
      <c r="N70" s="23" t="s">
        <v>38</v>
      </c>
      <c r="P70" s="75">
        <f>IF(OR(D70="Draw",K70="Draw"),"Add 0.1 to winner's score of drawn Final","")</f>
      </c>
      <c r="Y70" s="32"/>
      <c r="AA70" s="1" t="str">
        <f>IF(OR(G70="",H70=""),"None Yet",IF(G70&gt;H70,D70,IF(G70&lt;H70,K70,TEXT(D70,"")&amp;" and "&amp;TEXT(K70,""))))</f>
        <v>England</v>
      </c>
      <c r="FE70" s="67"/>
      <c r="FF70" s="67"/>
      <c r="FG70" s="71"/>
      <c r="FH70" s="69"/>
      <c r="FI70" s="69"/>
      <c r="FJ70" s="69"/>
      <c r="FK70" s="69"/>
      <c r="FL70" s="69"/>
      <c r="FM70" s="69"/>
      <c r="FN70" s="69"/>
      <c r="FO70" s="69"/>
      <c r="FP70" s="67"/>
    </row>
    <row r="71" spans="3:172" ht="13.5" customHeight="1"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P71" s="30"/>
      <c r="Q71" s="30"/>
      <c r="R71" s="30"/>
      <c r="S71" s="30"/>
      <c r="T71" s="30"/>
      <c r="U71" s="30"/>
      <c r="V71" s="30"/>
      <c r="W71" s="30"/>
      <c r="X71" s="30"/>
      <c r="Y71" s="33"/>
      <c r="Z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  <c r="BG71" s="30"/>
      <c r="BH71" s="30"/>
      <c r="BI71" s="30"/>
      <c r="BJ71" s="30"/>
      <c r="BK71" s="30"/>
      <c r="BL71" s="30"/>
      <c r="BM71" s="30"/>
      <c r="BN71" s="30"/>
      <c r="BO71" s="30"/>
      <c r="BP71" s="30"/>
      <c r="BQ71" s="30"/>
      <c r="BR71" s="30"/>
      <c r="BS71" s="30"/>
      <c r="BT71" s="30"/>
      <c r="BU71" s="30"/>
      <c r="BV71" s="30"/>
      <c r="BW71" s="30"/>
      <c r="BX71" s="30"/>
      <c r="BY71" s="30"/>
      <c r="BZ71" s="30"/>
      <c r="CA71" s="30"/>
      <c r="CB71" s="30"/>
      <c r="CC71" s="30"/>
      <c r="CD71" s="30"/>
      <c r="CE71" s="30"/>
      <c r="CF71" s="30"/>
      <c r="CG71" s="30"/>
      <c r="CH71" s="30"/>
      <c r="CI71" s="30"/>
      <c r="CJ71" s="30"/>
      <c r="CK71" s="30"/>
      <c r="CL71" s="30"/>
      <c r="CM71" s="30"/>
      <c r="CN71" s="30"/>
      <c r="CO71" s="30"/>
      <c r="CP71" s="30"/>
      <c r="CQ71" s="30"/>
      <c r="CR71" s="30"/>
      <c r="CS71" s="30"/>
      <c r="CT71" s="30"/>
      <c r="CU71" s="30"/>
      <c r="CV71" s="30"/>
      <c r="CW71" s="30"/>
      <c r="CX71" s="30"/>
      <c r="CY71" s="30"/>
      <c r="CZ71" s="30"/>
      <c r="DA71" s="30"/>
      <c r="DB71" s="30"/>
      <c r="DC71" s="30"/>
      <c r="DD71" s="30"/>
      <c r="DE71" s="30"/>
      <c r="DF71" s="30"/>
      <c r="DG71" s="30"/>
      <c r="DH71" s="30"/>
      <c r="DI71" s="30"/>
      <c r="DJ71" s="30"/>
      <c r="DK71" s="30"/>
      <c r="DL71" s="30"/>
      <c r="DM71" s="30"/>
      <c r="DN71" s="30"/>
      <c r="DO71" s="30"/>
      <c r="DP71" s="30"/>
      <c r="DQ71" s="30"/>
      <c r="DR71" s="30"/>
      <c r="DS71" s="30"/>
      <c r="DT71" s="30"/>
      <c r="DU71" s="30"/>
      <c r="DV71" s="30"/>
      <c r="DW71" s="30"/>
      <c r="DX71" s="30"/>
      <c r="DY71" s="30"/>
      <c r="DZ71" s="30"/>
      <c r="EA71" s="30"/>
      <c r="EB71" s="30"/>
      <c r="EC71" s="30"/>
      <c r="ED71" s="30"/>
      <c r="EE71" s="30"/>
      <c r="EF71" s="30"/>
      <c r="EG71" s="30"/>
      <c r="EH71" s="30"/>
      <c r="EI71" s="30"/>
      <c r="EJ71" s="30"/>
      <c r="EK71" s="30"/>
      <c r="EL71" s="30"/>
      <c r="EM71" s="30"/>
      <c r="EN71" s="30"/>
      <c r="EO71" s="30"/>
      <c r="EP71" s="30"/>
      <c r="EQ71" s="30"/>
      <c r="ER71" s="30"/>
      <c r="ES71" s="30"/>
      <c r="ET71" s="30"/>
      <c r="EU71" s="30"/>
      <c r="EV71" s="30"/>
      <c r="EW71" s="30"/>
      <c r="EX71" s="30"/>
      <c r="EY71" s="30"/>
      <c r="EZ71" s="30"/>
      <c r="FA71" s="30"/>
      <c r="FB71" s="30"/>
      <c r="FE71" s="69">
        <f>CHOOSE($FG$8,FG71,FH71,FI71,FJ71,FK71,FL71,FM71,FN71,FO71)</f>
        <v>37947.16666666667</v>
      </c>
      <c r="FF71" s="67"/>
      <c r="FG71" s="69">
        <f>FH71</f>
        <v>37947.833333333336</v>
      </c>
      <c r="FH71" s="69">
        <v>37947.833333333336</v>
      </c>
      <c r="FI71" s="69">
        <f>$FH71+(2/24)</f>
        <v>37947.91666666667</v>
      </c>
      <c r="FJ71" s="69">
        <f>$FH71-(9/24)</f>
        <v>37947.458333333336</v>
      </c>
      <c r="FK71" s="69">
        <f>$FH71-(10/24)</f>
        <v>37947.41666666667</v>
      </c>
      <c r="FL71" s="69">
        <f>$FH71-(11/24)</f>
        <v>37947.375</v>
      </c>
      <c r="FM71" s="69">
        <f>$FH71-(16/24)</f>
        <v>37947.16666666667</v>
      </c>
      <c r="FN71" s="69">
        <f>$FH71-(19/24)</f>
        <v>37947.04166666667</v>
      </c>
      <c r="FO71" s="69">
        <f>$FH71-(17/24)</f>
        <v>37947.125</v>
      </c>
      <c r="FP71" s="67"/>
    </row>
    <row r="72" spans="1:173" s="30" customFormat="1" ht="15.75" customHeight="1">
      <c r="A72" s="1"/>
      <c r="B72" s="1"/>
      <c r="C72" s="57" t="str">
        <f>"Rugby World Cup 2003 Champions:"</f>
        <v>Rugby World Cup 2003 Champions:</v>
      </c>
      <c r="D72" s="54"/>
      <c r="E72" s="54"/>
      <c r="F72" s="54"/>
      <c r="G72" s="49"/>
      <c r="H72" s="85" t="str">
        <f>AA70</f>
        <v>England</v>
      </c>
      <c r="I72" s="54"/>
      <c r="J72" s="54"/>
      <c r="K72" s="54"/>
      <c r="L72" s="54"/>
      <c r="M72" s="54"/>
      <c r="Q72" s="1"/>
      <c r="R72" s="1"/>
      <c r="S72" s="1"/>
      <c r="T72" s="1"/>
      <c r="U72" s="1"/>
      <c r="V72" s="1"/>
      <c r="Y72" s="32"/>
      <c r="Z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</row>
    <row r="73" spans="23:31" ht="16.5" customHeight="1">
      <c r="W73" s="92" t="s">
        <v>149</v>
      </c>
      <c r="Y73" s="32"/>
      <c r="AB73" s="30"/>
      <c r="AC73" s="30"/>
      <c r="AD73" s="30"/>
      <c r="AE73" s="30"/>
    </row>
    <row r="74" spans="3:25" ht="15.75" customHeight="1">
      <c r="C74" s="45" t="s">
        <v>148</v>
      </c>
      <c r="W74" s="3" t="s">
        <v>150</v>
      </c>
      <c r="Y74" s="32"/>
    </row>
    <row r="75" spans="1:173" ht="15.75" customHeight="1">
      <c r="A75" s="30"/>
      <c r="B75" s="30"/>
      <c r="Y75" s="32"/>
      <c r="FQ75" s="30"/>
    </row>
    <row r="79" spans="163:172" ht="15.75">
      <c r="FG79" s="30"/>
      <c r="FH79" s="30"/>
      <c r="FI79" s="30"/>
      <c r="FJ79" s="30"/>
      <c r="FK79" s="30"/>
      <c r="FL79" s="30"/>
      <c r="FM79" s="30"/>
      <c r="FN79" s="30"/>
      <c r="FO79" s="30"/>
      <c r="FP79" s="30"/>
    </row>
  </sheetData>
  <sheetProtection password="DD8F" sheet="1" objects="1" scenarios="1"/>
  <conditionalFormatting sqref="H72:I72">
    <cfRule type="cellIs" priority="1" dxfId="0" operator="equal" stopIfTrue="1">
      <formula>"None Yet"</formula>
    </cfRule>
  </conditionalFormatting>
  <conditionalFormatting sqref="D61">
    <cfRule type="cellIs" priority="2" dxfId="1" operator="equal" stopIfTrue="1">
      <formula>"""Add 0.1 to winner"""</formula>
    </cfRule>
  </conditionalFormatting>
  <printOptions horizontalCentered="1" verticalCentered="1"/>
  <pageMargins left="0.5" right="0.5" top="0.5" bottom="0.5" header="0.5" footer="0.5"/>
  <pageSetup horizontalDpi="300" verticalDpi="300" orientation="portrait" scale="66" r:id="rId3"/>
  <headerFooter alignWithMargins="0">
    <oddFooter>&amp;RCopyright Anthony M. Lawler  rugby@daag.org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Rugby World Cup 2003</dc:title>
  <dc:subject>Automated Scoresheet</dc:subject>
  <dc:creator>Anthony Lawler</dc:creator>
  <cp:keywords/>
  <dc:description>Enjoy the Rugby World Cup Automated Scoresheet.
Inspired by Anthony Lawler's Rugby Super 12 sheet and love of the game.</dc:description>
  <cp:lastModifiedBy>Anthony Lawler</cp:lastModifiedBy>
  <cp:lastPrinted>2003-10-18T18:49:36Z</cp:lastPrinted>
  <dcterms:created xsi:type="dcterms:W3CDTF">2002-05-09T18:02:26Z</dcterms:created>
  <dcterms:modified xsi:type="dcterms:W3CDTF">2003-11-22T11:38:59Z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wner">
    <vt:lpwstr>rugby@daag.org</vt:lpwstr>
  </property>
  <property fmtid="{D5CDD505-2E9C-101B-9397-08002B2CF9AE}" pid="3" name="Purpose">
    <vt:lpwstr>RWC 2003 Enjoy...</vt:lpwstr>
  </property>
  <property fmtid="{D5CDD505-2E9C-101B-9397-08002B2CF9AE}" pid="4" name="Winner:" linkTarget="rwc2003_winner">
    <vt:lpwstr>England</vt:lpwstr>
  </property>
  <property fmtid="{D5CDD505-2E9C-101B-9397-08002B2CF9AE}" pid="5" name="_AdHocReviewCycleID">
    <vt:i4>-1055966286</vt:i4>
  </property>
  <property fmtid="{D5CDD505-2E9C-101B-9397-08002B2CF9AE}" pid="6" name="_EmailSubject">
    <vt:lpwstr>Rwc update</vt:lpwstr>
  </property>
  <property fmtid="{D5CDD505-2E9C-101B-9397-08002B2CF9AE}" pid="7" name="_AuthorEmail">
    <vt:lpwstr>ALawler@glenwoodusa.com</vt:lpwstr>
  </property>
  <property fmtid="{D5CDD505-2E9C-101B-9397-08002B2CF9AE}" pid="8" name="_AuthorEmailDisplayName">
    <vt:lpwstr>Lawler, Anthony (Glenwood)</vt:lpwstr>
  </property>
  <property fmtid="{D5CDD505-2E9C-101B-9397-08002B2CF9AE}" pid="9" name="_PreviousAdHocReviewCycleID">
    <vt:i4>-1055966286</vt:i4>
  </property>
</Properties>
</file>